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82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<sst xmlns="http://schemas.openxmlformats.org/spreadsheetml/2006/main" count="3663" uniqueCount="2966">
  <si>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</si>
  <si>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</si>
  <si>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</si>
  <si>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</si>
  <si>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</si>
  <si>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</si>
  <si>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</si>
  <si>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</si>
  <si>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</si>
  <si>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</si>
  <si>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</si>
  <si>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</si>
  <si>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</si>
  <si>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</si>
  <si>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</si>
  <si>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</si>
  <si>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</si>
  <si>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</si>
  <si>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</si>
  <si>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</si>
  <si>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</si>
  <si>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</si>
  <si>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</si>
  <si>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</si>
  <si>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</si>
  <si>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</si>
  <si>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</si>
  <si>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</si>
  <si>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</si>
  <si>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</si>
  <si>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</si>
  <si>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</si>
  <si>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</si>
  <si>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</si>
  <si>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</si>
  <si>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</si>
  <si>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</si>
  <si>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</si>
  <si>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</si>
  <si>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</si>
  <si>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</si>
  <si>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</si>
  <si>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</si>
  <si>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</si>
  <si>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</si>
  <si>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</si>
  <si>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</si>
  <si>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</si>
  <si>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</si>
  <si>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</si>
  <si>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</si>
  <si>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</si>
  <si>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</si>
  <si>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</si>
  <si>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</si>
  <si>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</si>
  <si>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</si>
  <si>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</si>
  <si>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</si>
  <si>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</si>
  <si>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</si>
  <si>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</si>
  <si>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</si>
  <si>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</si>
  <si>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</si>
  <si>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</si>
  <si>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</si>
  <si>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</si>
  <si>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</si>
  <si>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</si>
  <si>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</si>
  <si>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</si>
  <si>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</si>
  <si>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</si>
  <si>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</si>
  <si>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</si>
  <si>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</si>
  <si>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</si>
  <si>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</si>
  <si>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</si>
  <si>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</si>
  <si>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</si>
  <si>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</si>
  <si>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</si>
  <si>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</si>
  <si>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</si>
  <si>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</si>
  <si>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</si>
  <si>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</si>
  <si>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</si>
  <si>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</si>
  <si>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</si>
  <si>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</si>
  <si>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</si>
  <si>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</si>
  <si>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</si>
  <si>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</si>
  <si>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</si>
  <si>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</si>
  <si>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</si>
  <si>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</si>
  <si>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</si>
  <si>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</si>
  <si>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</si>
  <si>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</si>
  <si>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</si>
  <si>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</si>
  <si>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</si>
  <si>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</si>
  <si>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</si>
  <si>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</si>
  <si>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</si>
  <si>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</si>
  <si>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</si>
  <si>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</si>
  <si>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</si>
  <si>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</si>
  <si>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</si>
  <si>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</si>
  <si>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</si>
  <si>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</si>
  <si>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</si>
  <si>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</si>
  <si>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</si>
  <si>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</si>
  <si>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</si>
  <si>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</si>
  <si>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</si>
  <si>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</si>
  <si>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</si>
  <si>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</si>
  <si>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</si>
  <si>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</si>
  <si>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</si>
  <si>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</si>
  <si>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</si>
  <si>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</si>
  <si>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</si>
  <si>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</si>
  <si>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</si>
  <si>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</si>
  <si>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</si>
  <si>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</si>
  <si>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</si>
  <si>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</si>
  <si>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</si>
  <si>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</si>
  <si>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</si>
  <si>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</si>
  <si>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</si>
  <si>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</si>
  <si>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</si>
  <si>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</si>
  <si>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</si>
  <si>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</si>
  <si>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</si>
  <si>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</si>
  <si>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</si>
  <si>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</si>
  <si>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</si>
  <si>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</si>
  <si>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</si>
  <si>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</si>
  <si>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</si>
  <si>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</si>
  <si>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</si>
  <si>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</si>
  <si>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</si>
  <si>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</si>
  <si>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</si>
  <si>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</si>
  <si>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</si>
  <si>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</si>
  <si>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</si>
  <si>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</si>
  <si>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</si>
  <si>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</si>
  <si>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</si>
  <si>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</si>
  <si>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</si>
  <si>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</si>
  <si>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</si>
  <si>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</si>
  <si>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</si>
  <si>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</si>
  <si>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</si>
  <si>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</si>
  <si>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</si>
  <si>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</si>
  <si>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</si>
  <si>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</si>
  <si>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</si>
  <si>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</si>
  <si>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</si>
  <si>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</si>
  <si>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</si>
  <si>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</si>
  <si>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</si>
  <si>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</si>
  <si>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</si>
  <si>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</si>
  <si>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</si>
  <si>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</si>
  <si>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</si>
  <si>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</si>
  <si>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</si>
  <si>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</si>
  <si>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</si>
  <si>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</si>
  <si>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</si>
  <si>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</si>
  <si>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</si>
  <si>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</si>
  <si>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</si>
  <si>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</si>
  <si>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</si>
  <si>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</si>
  <si>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</si>
  <si>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</si>
  <si>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</si>
  <si>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</si>
  <si>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</si>
  <si>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</si>
  <si>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</si>
  <si>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</si>
  <si>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</si>
  <si>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</si>
  <si>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</si>
  <si>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</si>
  <si>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</si>
  <si>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</si>
  <si>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</si>
  <si>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</si>
  <si>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</si>
  <si>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</si>
  <si>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</si>
  <si>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</si>
  <si>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</si>
  <si>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</si>
  <si>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</si>
  <si>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</si>
  <si>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</si>
  <si>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</si>
  <si>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</si>
  <si>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</si>
  <si>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</si>
  <si>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</si>
  <si>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</si>
  <si>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</si>
  <si>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</si>
  <si>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</si>
  <si>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</si>
  <si>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</si>
  <si>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</si>
  <si>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</si>
  <si>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</si>
  <si>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</si>
  <si>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</si>
  <si>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</si>
  <si>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</si>
  <si>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</si>
  <si>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</si>
  <si>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</si>
  <si>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</si>
  <si>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</si>
  <si>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</si>
  <si>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</si>
  <si>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</si>
  <si>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</si>
  <si>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</si>
  <si>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</si>
  <si>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</si>
  <si>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</si>
  <si>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</si>
  <si>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</si>
  <si>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</si>
  <si>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</si>
  <si>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</si>
  <si>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</si>
  <si>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</si>
  <si>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</si>
  <si>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</si>
  <si>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</si>
  <si>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</si>
  <si>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</si>
  <si>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</si>
  <si>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</si>
  <si>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</si>
  <si>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</si>
  <si>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</si>
  <si>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</si>
  <si>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</si>
  <si>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</si>
  <si>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</si>
  <si>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</si>
  <si>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</si>
  <si>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</si>
  <si>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</si>
  <si>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</si>
  <si>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</si>
  <si>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</si>
  <si>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</si>
  <si>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</si>
  <si>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</si>
  <si>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</si>
  <si>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</si>
  <si>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</si>
  <si>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</si>
  <si>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</si>
  <si>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</si>
  <si>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</si>
  <si>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</si>
  <si>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</si>
  <si>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</si>
  <si>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</si>
  <si>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</si>
  <si>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</si>
  <si>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</si>
  <si>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</si>
  <si>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</si>
  <si>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</si>
  <si>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</si>
  <si>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</si>
  <si>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</si>
  <si>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</si>
  <si>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</si>
  <si>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</si>
  <si>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</si>
  <si>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</si>
  <si>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</si>
  <si>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</si>
  <si>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</si>
  <si>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</si>
  <si>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</si>
  <si>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</si>
  <si>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</si>
  <si>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</si>
  <si>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</si>
  <si>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</si>
  <si>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</si>
  <si>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</si>
  <si>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</si>
  <si>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</si>
  <si>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</si>
  <si>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</si>
  <si>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</si>
  <si>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</si>
  <si>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</si>
  <si>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</si>
  <si>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</si>
  <si>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</si>
  <si>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</si>
  <si>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</si>
  <si>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</si>
  <si>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</si>
  <si>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</si>
  <si>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</si>
  <si>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</si>
  <si>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</si>
  <si>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</si>
  <si>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</si>
  <si>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</si>
  <si>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</si>
  <si>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</si>
  <si>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</si>
  <si>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</si>
  <si>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</si>
  <si>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</si>
  <si>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</si>
  <si>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</si>
  <si>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</si>
  <si>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</si>
  <si>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</si>
  <si>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</si>
  <si>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</si>
  <si>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</si>
  <si>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</si>
  <si>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</si>
  <si>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</si>
  <si>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</si>
  <si>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</si>
  <si>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</si>
  <si>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</si>
  <si>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</si>
  <si>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</si>
  <si>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</si>
  <si>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</si>
  <si>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</si>
  <si>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</si>
  <si>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</si>
  <si>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</si>
  <si>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</si>
  <si>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</si>
  <si>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</si>
  <si>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</si>
  <si>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</si>
  <si>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</si>
  <si>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</si>
  <si>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</si>
  <si>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</si>
  <si>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</si>
  <si>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</si>
  <si>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</si>
  <si>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</si>
  <si>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</si>
  <si>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</si>
  <si>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</si>
  <si>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</si>
  <si>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</si>
  <si>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</si>
  <si>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</si>
  <si>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</si>
  <si>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</si>
  <si>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</si>
  <si>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</si>
  <si>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</si>
  <si>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</si>
  <si>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</si>
  <si>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</si>
  <si>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</si>
  <si>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</si>
  <si>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</si>
  <si>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</si>
  <si>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</si>
  <si>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</si>
  <si>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</si>
  <si>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</si>
  <si>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</si>
  <si>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</si>
  <si>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</si>
  <si>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</si>
  <si>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</si>
  <si>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</si>
  <si>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</si>
  <si>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</si>
  <si>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</si>
  <si>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</si>
  <si>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</si>
  <si>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</si>
  <si>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</si>
  <si>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</si>
  <si>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</si>
  <si>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</si>
  <si>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</si>
  <si>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</si>
  <si>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</si>
  <si>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</si>
  <si>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</si>
  <si>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</si>
  <si>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</si>
  <si>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</si>
  <si>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</si>
  <si>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</si>
  <si>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</si>
  <si>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</si>
  <si>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</si>
  <si>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</si>
  <si>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</si>
  <si>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</si>
  <si>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</si>
  <si>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</si>
  <si>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</si>
  <si>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</si>
  <si>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</si>
  <si>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</si>
  <si>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</si>
  <si>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</si>
  <si>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</si>
  <si>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</si>
  <si>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</si>
  <si>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</si>
  <si>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</si>
  <si>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</si>
  <si>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</si>
  <si>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</si>
  <si>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</si>
  <si>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</si>
  <si>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</si>
  <si>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</si>
  <si>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</si>
  <si>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</si>
  <si>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</si>
  <si>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</si>
  <si>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</si>
  <si>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</si>
  <si>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</si>
  <si>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</si>
  <si>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</si>
  <si>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</si>
  <si>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</si>
  <si>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</si>
  <si>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</si>
  <si>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</si>
  <si>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</si>
  <si>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</si>
  <si>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</si>
  <si>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</si>
  <si>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</si>
  <si>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</si>
  <si>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</si>
  <si>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</si>
  <si>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</si>
  <si>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</si>
  <si>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</si>
  <si>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</si>
  <si>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</si>
  <si>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</si>
  <si>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</si>
  <si>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</si>
  <si>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</si>
  <si>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</si>
  <si>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</si>
  <si>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</si>
  <si>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</si>
  <si>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</si>
  <si>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</si>
  <si>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</si>
  <si>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</si>
  <si>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</si>
  <si>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</si>
  <si>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</si>
  <si>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</si>
  <si>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</si>
  <si>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</si>
  <si>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</si>
  <si>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</si>
  <si>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</si>
  <si>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</si>
  <si>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</si>
  <si>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</si>
  <si>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</si>
  <si>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</si>
  <si>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</si>
  <si>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</si>
  <si>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</si>
  <si>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</si>
  <si>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</si>
  <si>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</si>
  <si>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</si>
  <si>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</si>
  <si>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</si>
  <si>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</si>
  <si>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</si>
  <si>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</si>
  <si>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</si>
  <si>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</si>
  <si>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</si>
  <si>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</si>
  <si>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</si>
  <si>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</si>
  <si>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</si>
  <si>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</si>
  <si>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</si>
  <si>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</si>
  <si>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</si>
  <si>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</si>
  <si>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</si>
  <si>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</si>
  <si>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</si>
  <si>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</si>
  <si>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</si>
  <si>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</si>
  <si>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</si>
  <si>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</si>
  <si>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</si>
  <si>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</si>
  <si>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</si>
  <si>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</si>
  <si>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</si>
  <si>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</si>
  <si>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</si>
  <si>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</si>
  <si>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</si>
  <si>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</si>
  <si>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</si>
  <si>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</si>
  <si>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</si>
  <si>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</si>
  <si>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</si>
  <si>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</si>
  <si>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</si>
  <si>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</si>
  <si>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</si>
  <si>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</si>
  <si>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</si>
  <si>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</si>
  <si>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</si>
  <si>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</si>
  <si>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</si>
  <si>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</si>
  <si>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</si>
  <si>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</si>
  <si>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</si>
  <si>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</si>
  <si>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</si>
  <si>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</si>
  <si>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</si>
  <si>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</si>
  <si>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</si>
  <si>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</si>
  <si>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</si>
  <si>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</si>
  <si>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</si>
  <si>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</si>
  <si>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</si>
  <si>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</si>
  <si>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</si>
  <si>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</si>
  <si>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</si>
  <si>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</si>
  <si>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</si>
  <si>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</si>
  <si>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</si>
  <si>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</si>
  <si>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</si>
  <si>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</si>
  <si>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</si>
  <si>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</si>
  <si>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</si>
  <si>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</si>
  <si>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</si>
  <si>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</si>
  <si>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</si>
  <si>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</si>
  <si>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</si>
  <si>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</si>
  <si>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</si>
  <si>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</si>
  <si>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</si>
  <si>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</si>
  <si>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</si>
  <si>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</si>
  <si>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</si>
  <si>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</si>
  <si>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</si>
  <si>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</si>
  <si>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</si>
  <si>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</si>
  <si>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</si>
  <si>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</si>
  <si>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</si>
  <si>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</si>
  <si>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</si>
  <si>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</si>
  <si>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</si>
  <si>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</si>
  <si>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</si>
  <si>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</si>
  <si>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</si>
  <si>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</si>
  <si>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</si>
  <si>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</si>
  <si>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</si>
  <si>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</si>
  <si>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</si>
  <si>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</si>
  <si>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</si>
  <si>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</si>
  <si>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</si>
  <si>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</si>
  <si>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</si>
  <si>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</si>
  <si>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</si>
  <si>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</si>
  <si>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</si>
  <si>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</si>
  <si>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</si>
  <si>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</si>
  <si>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</si>
  <si>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</si>
  <si>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</si>
  <si>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</si>
  <si>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</si>
  <si>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</si>
  <si>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</si>
  <si>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</si>
  <si>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</si>
  <si>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</si>
  <si>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</si>
  <si>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</si>
  <si>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</si>
  <si>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</si>
  <si>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</si>
  <si>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</si>
  <si>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</si>
  <si>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</si>
  <si>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</si>
  <si>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</si>
  <si>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</si>
  <si>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</si>
  <si>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</si>
  <si>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</si>
  <si>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</si>
  <si>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</si>
  <si>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</si>
  <si>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</si>
  <si>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</si>
  <si>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</si>
  <si>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</si>
  <si>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</si>
  <si>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</si>
  <si>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</si>
  <si>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</si>
  <si>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</si>
  <si>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</si>
  <si>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</si>
  <si>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</si>
  <si>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</si>
  <si>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</si>
  <si>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</si>
  <si>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</si>
  <si>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</si>
  <si>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</si>
  <si>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</si>
  <si>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</si>
  <si>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</si>
  <si>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</si>
  <si>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</si>
  <si>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</si>
  <si>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</si>
  <si>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</si>
  <si>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</si>
  <si>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</si>
  <si>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</si>
  <si>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</si>
  <si>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</si>
  <si>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</si>
  <si>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</si>
  <si>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</si>
  <si>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</si>
  <si>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</si>
  <si>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</si>
  <si>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</si>
  <si>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</si>
  <si>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</si>
  <si>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</si>
  <si>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</si>
  <si>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</si>
  <si>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</si>
  <si>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</si>
  <si>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</si>
  <si>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</si>
  <si>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</si>
  <si>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</si>
  <si>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</si>
  <si>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</si>
  <si>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</si>
  <si>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</si>
  <si>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</si>
  <si>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</si>
  <si>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</si>
  <si>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</si>
  <si>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</si>
  <si>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</si>
  <si>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</si>
  <si>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</si>
  <si>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</si>
  <si>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</si>
  <si>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</si>
  <si>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</si>
  <si>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</si>
  <si>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</si>
  <si>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</si>
  <si>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</si>
  <si>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</si>
  <si>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</si>
  <si>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</si>
  <si>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</si>
  <si>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</si>
  <si>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</si>
  <si>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</si>
  <si>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</si>
  <si>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</si>
  <si>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</si>
  <si>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</si>
  <si>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</si>
  <si>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</si>
  <si>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</si>
  <si>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</si>
  <si>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</si>
  <si>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</si>
  <si>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</si>
  <si>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</si>
  <si>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</si>
  <si>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</si>
  <si>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</si>
  <si>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</si>
  <si>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</si>
  <si>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</si>
  <si>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</si>
  <si>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</si>
  <si>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</si>
  <si>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</si>
  <si>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</si>
  <si>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</si>
  <si>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</si>
  <si>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</si>
  <si>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</si>
  <si>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</si>
  <si>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</si>
  <si>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</si>
  <si>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</si>
  <si>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</si>
  <si>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</si>
  <si>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</si>
  <si>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</si>
  <si>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</si>
  <si>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</si>
  <si>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</si>
  <si>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</si>
  <si>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</si>
  <si>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</si>
  <si>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</si>
  <si>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</si>
  <si>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</si>
  <si>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</si>
  <si>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</si>
  <si>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</si>
  <si>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</si>
  <si>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</si>
  <si>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</si>
  <si>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</si>
  <si>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</si>
  <si>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</si>
  <si>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</si>
  <si>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</si>
  <si>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</si>
  <si>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</si>
  <si>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</si>
  <si>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</si>
  <si>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</si>
  <si>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</si>
  <si>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</si>
  <si>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</si>
  <si>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</si>
  <si>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</si>
  <si>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</si>
  <si>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</si>
  <si>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</si>
  <si>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</si>
  <si>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</si>
  <si>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</si>
  <si>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</si>
  <si>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</si>
  <si>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</si>
  <si>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</si>
  <si>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</si>
  <si>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</si>
  <si>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</si>
  <si>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</si>
  <si>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</si>
  <si>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</si>
  <si>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</si>
  <si>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</si>
  <si>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</si>
  <si>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</si>
  <si>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</si>
  <si>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</si>
  <si>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</si>
  <si>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</si>
  <si>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</si>
  <si>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</si>
  <si>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</si>
  <si>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</si>
  <si>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</si>
  <si>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</si>
  <si>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</si>
  <si>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</si>
  <si>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</si>
  <si>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</si>
  <si>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</si>
  <si>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</si>
  <si>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</si>
  <si>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</si>
  <si>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</si>
  <si>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</si>
  <si>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</si>
  <si>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</si>
  <si>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</si>
  <si>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</si>
  <si>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</si>
  <si>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</si>
  <si>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</si>
  <si>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</si>
  <si>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</si>
  <si>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</si>
  <si>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</si>
  <si>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</si>
  <si>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</si>
  <si>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</si>
  <si>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</si>
  <si>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</si>
  <si>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</si>
  <si>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</si>
  <si>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</si>
  <si>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</si>
  <si>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</si>
  <si>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</si>
  <si>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</si>
  <si>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</si>
  <si>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</si>
  <si>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</si>
  <si>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</si>
  <si>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</si>
  <si>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</si>
  <si>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</si>
  <si>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</si>
  <si>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</si>
  <si>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</si>
  <si>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</si>
  <si>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</si>
  <si>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</si>
  <si>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</si>
  <si>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</si>
  <si>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</si>
  <si>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</si>
  <si>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</si>
  <si>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</si>
  <si>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</si>
  <si>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</si>
  <si>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</si>
  <si>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</si>
  <si>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</si>
  <si>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</si>
  <si>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</si>
  <si>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</si>
  <si>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</si>
  <si>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</si>
  <si>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</si>
  <si>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</si>
  <si>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</si>
  <si>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</si>
  <si>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</si>
  <si>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</si>
  <si>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</si>
  <si>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</si>
  <si>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</si>
  <si>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</si>
  <si>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</si>
  <si>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</si>
  <si>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</si>
  <si>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</si>
  <si>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</si>
  <si>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</si>
  <si>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</si>
  <si>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</si>
  <si>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</si>
  <si>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</si>
  <si>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</si>
  <si>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</si>
  <si>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</si>
  <si>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</si>
  <si>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</si>
  <si>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</si>
  <si>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</si>
  <si>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</si>
  <si>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</si>
  <si>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</si>
  <si>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</si>
  <si>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</si>
  <si>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</si>
  <si>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</si>
  <si>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</si>
  <si>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</si>
  <si>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</si>
  <si>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</si>
  <si>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</si>
  <si>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</si>
  <si>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</si>
  <si>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</si>
  <si>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</si>
  <si>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</si>
  <si>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</si>
  <si>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</si>
  <si>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</si>
  <si>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</si>
  <si>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</si>
  <si>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</si>
  <si>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</si>
  <si>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</si>
  <si>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</si>
  <si>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</si>
  <si>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</si>
  <si>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</si>
  <si>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</si>
  <si>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</si>
  <si>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</si>
  <si>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</si>
  <si>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</si>
  <si>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</si>
  <si>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</si>
  <si>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</si>
  <si>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</si>
  <si>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</si>
  <si>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</si>
  <si>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</si>
  <si>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</si>
  <si>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</si>
  <si>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</si>
  <si>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</si>
  <si>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</si>
  <si>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</si>
  <si>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</si>
  <si>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</si>
  <si>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</si>
  <si>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</si>
  <si>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</si>
  <si>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</si>
  <si>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</si>
  <si>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</si>
  <si>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</si>
  <si>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</si>
  <si>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</si>
  <si>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</si>
  <si>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</si>
  <si>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</si>
  <si>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</si>
  <si>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</si>
  <si>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</si>
  <si>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</si>
  <si>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</si>
  <si>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</si>
  <si>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</si>
  <si>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</si>
  <si>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</si>
  <si>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</si>
  <si>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</si>
  <si>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</si>
  <si>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</si>
  <si>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</si>
  <si>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</si>
  <si>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</si>
  <si>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</si>
  <si>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</si>
  <si>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</si>
  <si>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</si>
  <si>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</si>
  <si>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</si>
  <si>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</si>
  <si>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</si>
  <si>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</si>
  <si>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</si>
  <si>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</si>
  <si>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</si>
  <si>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</si>
  <si>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</si>
  <si>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</si>
  <si>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</si>
  <si>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</si>
  <si>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</si>
  <si>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</si>
  <si>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</si>
  <si>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</si>
  <si>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</si>
  <si>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</si>
  <si>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</si>
  <si>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</si>
  <si>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</si>
  <si>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</si>
  <si>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</si>
  <si>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</si>
  <si>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</si>
  <si>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</si>
  <si>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</si>
  <si>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</si>
  <si>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</si>
  <si>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</si>
  <si>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</si>
  <si>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</si>
  <si>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</si>
  <si>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</si>
  <si>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</si>
  <si>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</si>
  <si>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</si>
  <si>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</si>
  <si>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</si>
  <si>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</si>
  <si>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</si>
  <si>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</si>
  <si>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</si>
  <si>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</si>
  <si>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</si>
  <si>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</si>
  <si>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</si>
  <si>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</si>
  <si>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</si>
  <si>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</si>
  <si>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</si>
  <si>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</si>
  <si>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</si>
  <si>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</si>
  <si>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</si>
  <si>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</si>
  <si>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</si>
  <si>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</si>
  <si>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</si>
  <si>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</si>
  <si>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</si>
  <si>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</si>
  <si>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</si>
  <si>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</si>
  <si>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</si>
  <si>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</si>
  <si>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</si>
  <si>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</si>
  <si>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</si>
  <si>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</si>
  <si>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</si>
  <si>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</si>
  <si>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</si>
  <si>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</si>
  <si>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</si>
  <si>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</si>
  <si>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</si>
  <si>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</si>
  <si>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</si>
  <si>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</si>
  <si>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</si>
  <si>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</si>
  <si>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</si>
  <si>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</si>
  <si>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</si>
  <si>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</si>
  <si>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</si>
  <si>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</si>
  <si>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</si>
  <si>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</si>
  <si>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</si>
  <si>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</si>
  <si>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</si>
  <si>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</si>
  <si>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</si>
  <si>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</si>
  <si>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</si>
  <si>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</si>
  <si>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</si>
  <si>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</si>
  <si>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</si>
  <si>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</si>
  <si>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</si>
  <si>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</si>
  <si>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</si>
  <si>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</si>
  <si>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</si>
  <si>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</si>
  <si>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</si>
  <si>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</si>
  <si>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</si>
  <si>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</si>
  <si>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</si>
  <si>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</si>
  <si>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</si>
  <si>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</si>
  <si>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</si>
  <si>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</si>
  <si>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</si>
  <si>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</si>
  <si>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</si>
  <si>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</si>
  <si>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</si>
  <si>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</si>
  <si>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</si>
  <si>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</si>
  <si>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</si>
  <si>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</si>
  <si>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</si>
  <si>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</si>
  <si>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</si>
  <si>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</si>
  <si>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</si>
  <si>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</si>
  <si>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</si>
  <si>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</si>
  <si>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</si>
  <si>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</si>
  <si>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</si>
  <si>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</si>
  <si>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</si>
  <si>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</si>
  <si>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</si>
  <si>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</si>
  <si>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</si>
  <si>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</si>
  <si>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</si>
  <si>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</si>
  <si>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</si>
  <si>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</si>
  <si>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</si>
  <si>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</si>
  <si>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</si>
  <si>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</si>
  <si>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</si>
  <si>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</si>
  <si>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</si>
  <si>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</si>
  <si>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</si>
  <si>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</si>
  <si>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</si>
  <si>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</si>
  <si>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</si>
  <si>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</si>
  <si>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</si>
  <si>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</si>
  <si>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</si>
  <si>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</si>
  <si>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</si>
  <si>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</si>
  <si>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</si>
  <si>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</si>
  <si>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</si>
  <si>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</si>
  <si>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</si>
  <si>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</si>
  <si>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</si>
  <si>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</si>
  <si>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</si>
  <si>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</si>
  <si>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</si>
  <si>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</si>
  <si>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</si>
  <si>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</si>
  <si>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</si>
  <si>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</si>
  <si>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</si>
  <si>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</si>
  <si>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</si>
  <si>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</si>
  <si>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</si>
  <si>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</si>
  <si>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</si>
  <si>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</si>
  <si>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</si>
  <si>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</si>
  <si>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</si>
  <si>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</si>
  <si>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</si>
  <si>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</si>
  <si>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</si>
  <si>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</si>
  <si>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</si>
  <si>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</si>
  <si>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</si>
  <si>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</si>
  <si>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</si>
  <si>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</si>
  <si>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</si>
  <si>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</si>
  <si>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</si>
  <si>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</si>
  <si>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</si>
  <si>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</si>
  <si>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</si>
  <si>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</si>
  <si>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</si>
  <si>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</si>
  <si>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</si>
  <si>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</si>
  <si>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</si>
  <si>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</si>
  <si>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</si>
  <si>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</si>
  <si>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</si>
  <si>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</si>
  <si>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</si>
  <si>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</si>
  <si>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</si>
  <si>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</si>
  <si>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</si>
  <si>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</si>
  <si>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</si>
  <si>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</si>
  <si>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</si>
  <si>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</si>
  <si>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</si>
  <si>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</si>
  <si>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</si>
  <si>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</si>
  <si>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</si>
  <si>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</si>
  <si>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</si>
  <si>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</si>
  <si>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</si>
  <si>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</si>
  <si>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</si>
  <si>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</si>
  <si>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</si>
  <si>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</si>
  <si>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</si>
  <si>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</si>
  <si>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</si>
  <si>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</si>
  <si>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</si>
  <si>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</si>
  <si>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</si>
  <si>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</si>
  <si>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</si>
  <si>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</si>
  <si>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</si>
  <si>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</si>
  <si>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</si>
  <si>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</si>
  <si>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</si>
  <si>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</si>
  <si>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</si>
  <si>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</si>
  <si>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</si>
  <si>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</si>
  <si>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</si>
  <si>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</si>
  <si>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</si>
  <si>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</si>
  <si>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</si>
  <si>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</si>
  <si>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</si>
  <si>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</si>
  <si>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</si>
  <si>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</si>
  <si>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</si>
  <si>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</si>
  <si>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</si>
  <si>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</si>
  <si>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</si>
  <si>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</si>
  <si>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</si>
  <si>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</si>
  <si>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</si>
  <si>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</si>
  <si>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</si>
  <si>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</si>
  <si>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</si>
  <si>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</si>
  <si>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</si>
  <si>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</si>
  <si>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</si>
  <si>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</si>
  <si>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</si>
  <si>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</si>
  <si>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</si>
  <si>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</si>
  <si>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</si>
  <si>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</si>
  <si>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</si>
  <si>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</si>
  <si>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</si>
  <si>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</si>
  <si>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</si>
  <si>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</si>
  <si>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</si>
  <si>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</si>
  <si>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</si>
  <si>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</si>
  <si>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</si>
  <si>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</si>
  <si>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</si>
  <si>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</si>
  <si>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</si>
  <si>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</si>
  <si>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</si>
  <si>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</si>
  <si>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</si>
  <si>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</si>
  <si>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</si>
  <si>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</si>
  <si>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</si>
  <si>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</si>
  <si>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</si>
  <si>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</si>
  <si>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</si>
  <si>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</si>
  <si>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</si>
  <si>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</si>
  <si>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</si>
  <si>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</si>
  <si>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</si>
  <si>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</si>
  <si>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</si>
  <si>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</si>
  <si>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</si>
  <si>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</si>
  <si>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</si>
  <si>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</si>
  <si>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</si>
  <si>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</si>
  <si>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</si>
  <si>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</si>
  <si>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</si>
  <si>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</si>
  <si>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</si>
  <si>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</si>
  <si>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</si>
  <si>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</si>
  <si>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</si>
  <si>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</si>
  <si>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</si>
  <si>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</si>
  <si>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</si>
  <si>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</si>
  <si>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</si>
  <si>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</si>
  <si>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</si>
  <si>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</si>
  <si>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</si>
  <si>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</si>
  <si>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</si>
  <si>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</si>
  <si>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</si>
  <si>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</si>
  <si>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</si>
  <si>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</si>
  <si>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</si>
  <si>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</si>
  <si>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</si>
  <si>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</si>
  <si>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</si>
  <si>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</si>
  <si>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</si>
  <si>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</si>
  <si>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</si>
  <si>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</si>
  <si>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</si>
  <si>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</si>
  <si>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</si>
  <si>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</si>
  <si>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</si>
  <si>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</si>
  <si>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</si>
  <si>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</si>
  <si>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</si>
  <si>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</si>
  <si>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</si>
  <si>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</si>
  <si>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</si>
  <si>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</si>
  <si>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</si>
  <si>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</si>
  <si>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</si>
  <si>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</si>
  <si>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</si>
  <si>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</si>
  <si>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</si>
  <si>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</si>
  <si>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</si>
  <si>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</si>
  <si>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</si>
  <si>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</si>
  <si>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</si>
  <si>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</si>
  <si>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</si>
  <si>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</si>
  <si>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</si>
  <si>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</si>
  <si>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</si>
  <si>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</si>
  <si>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</si>
  <si>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</si>
  <si>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</si>
  <si>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</si>
  <si>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</si>
  <si>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</si>
  <si>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</si>
  <si>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</si>
  <si>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</si>
  <si>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</si>
  <si>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</si>
  <si>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</si>
  <si>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</si>
  <si>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</si>
  <si>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</si>
  <si>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</si>
  <si>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</si>
  <si>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</si>
  <si>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</si>
  <si>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</si>
  <si>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</si>
  <si>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</si>
  <si>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</si>
  <si>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</si>
  <si>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</si>
  <si>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</si>
  <si>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</si>
  <si>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</si>
  <si>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</si>
  <si>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</si>
  <si>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</si>
  <si>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</si>
  <si>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</si>
  <si>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</si>
  <si>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</si>
  <si>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</si>
  <si>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</si>
  <si>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</si>
  <si>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</si>
  <si>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</si>
  <si>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</si>
  <si>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</si>
  <si>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</si>
  <si>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</si>
  <si>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</si>
  <si>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</si>
  <si>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</si>
  <si>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</si>
  <si>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</si>
  <si>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</si>
  <si>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</si>
  <si>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</si>
  <si>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</si>
  <si>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</si>
  <si>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</si>
  <si>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</si>
  <si>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</si>
  <si>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</si>
  <si>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</si>
  <si>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</si>
  <si>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</si>
  <si>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</si>
  <si>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</si>
  <si>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</si>
  <si>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</si>
  <si>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</si>
  <si>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</si>
  <si>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</si>
  <si>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</si>
  <si>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</si>
  <si>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</si>
  <si>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</si>
  <si>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</si>
  <si>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</si>
  <si>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</si>
  <si>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</si>
  <si>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</si>
  <si>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</si>
  <si>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</si>
  <si>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</si>
  <si>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</si>
  <si>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</si>
  <si>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</si>
  <si>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</si>
  <si>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</si>
  <si>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</si>
  <si>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</si>
  <si>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</si>
  <si>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</si>
  <si>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</si>
  <si>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</si>
  <si>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</si>
  <si>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</si>
  <si>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</si>
  <si>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</si>
  <si>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</si>
  <si>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</si>
  <si>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</si>
  <si>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</si>
  <si>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</si>
  <si>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</si>
  <si>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</si>
  <si>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</si>
  <si>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</si>
  <si>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</si>
  <si>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</si>
  <si>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</si>
  <si>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</si>
  <si>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</si>
  <si>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</si>
  <si>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</si>
  <si>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</si>
  <si>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</si>
  <si>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</si>
  <si>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</si>
  <si>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</si>
  <si>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</si>
  <si>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</si>
  <si>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</si>
  <si>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</si>
  <si>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</si>
  <si>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</si>
  <si>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</si>
  <si>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</si>
  <si>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</si>
  <si>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</si>
  <si>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</si>
  <si>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</si>
  <si>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</si>
  <si>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</si>
  <si>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</si>
  <si>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</si>
  <si>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</si>
  <si>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</si>
  <si>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</si>
  <si>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</si>
  <si>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</si>
  <si>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</si>
  <si>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</si>
  <si>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</si>
  <si>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</si>
  <si>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</si>
  <si>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</si>
  <si>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</si>
  <si>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</si>
  <si>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</si>
  <si>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</si>
  <si>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</si>
  <si>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</si>
  <si>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</si>
  <si>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</si>
  <si>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</si>
  <si>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</si>
  <si>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</si>
  <si>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</si>
  <si>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</si>
  <si>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</si>
  <si>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</si>
  <si>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</si>
  <si>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</si>
  <si>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</si>
  <si>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</si>
  <si>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</si>
  <si>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</si>
  <si>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</si>
  <si>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</si>
  <si>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</si>
  <si>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</si>
  <si>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</si>
  <si>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</si>
  <si>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</si>
  <si>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</si>
  <si>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</si>
  <si>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</si>
  <si>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</si>
  <si>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</si>
  <si>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</si>
  <si>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</si>
  <si>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</si>
  <si>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</si>
  <si>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</si>
  <si>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</si>
  <si>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</si>
  <si>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</si>
  <si>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</si>
  <si>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</si>
  <si>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</si>
  <si>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</si>
  <si>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</si>
  <si>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</si>
  <si>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</si>
  <si>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</si>
  <si>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</si>
  <si>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</si>
  <si>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</si>
  <si>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</si>
  <si>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</si>
  <si>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</si>
  <si>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</si>
  <si>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</si>
  <si>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</si>
  <si>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</si>
  <si>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</si>
  <si>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</si>
  <si>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</si>
  <si>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</si>
  <si>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</si>
  <si>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</si>
  <si>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</si>
  <si>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</si>
  <si>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</si>
  <si>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</si>
  <si>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</si>
  <si>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</si>
  <si>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</si>
  <si>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</si>
  <si>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</si>
  <si>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</si>
  <si>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</si>
  <si>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</si>
  <si>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</si>
  <si>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</si>
  <si>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</si>
  <si>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</si>
  <si>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</si>
  <si>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</si>
  <si>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</si>
  <si>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</si>
  <si>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</si>
  <si>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</si>
  <si>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</si>
  <si>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</si>
  <si>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</si>
  <si>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</si>
  <si>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</si>
  <si>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</si>
  <si>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</si>
  <si>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</si>
  <si>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</si>
  <si>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</si>
  <si>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</si>
  <si>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</si>
  <si>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</si>
  <si>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</si>
  <si>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</si>
  <si>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</si>
  <si>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</si>
  <si>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</si>
  <si>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</si>
  <si>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</si>
  <si>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</si>
  <si>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</si>
  <si>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</si>
  <si>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</si>
  <si>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</si>
  <si>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</si>
  <si>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</si>
  <si>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</si>
  <si>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</si>
  <si>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</si>
  <si>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</si>
  <si>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</si>
  <si>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</si>
  <si>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</si>
  <si>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</si>
  <si>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</si>
  <si>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</si>
  <si>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</si>
  <si>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</si>
  <si>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</si>
  <si>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</si>
  <si>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</si>
  <si>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</si>
  <si>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</si>
  <si>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</si>
  <si>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</si>
  <si>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</si>
  <si>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</si>
  <si>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</si>
  <si>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</si>
  <si>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</si>
  <si>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</si>
  <si>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</si>
  <si>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</si>
  <si>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</si>
  <si>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</si>
  <si>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</si>
  <si>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</si>
  <si>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</si>
  <si>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</si>
  <si>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</si>
  <si>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</si>
  <si>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</si>
  <si>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</si>
  <si>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</si>
  <si>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</si>
  <si>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</si>
  <si>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</si>
  <si>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</si>
  <si>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</si>
  <si>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</si>
  <si>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</si>
  <si>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</si>
  <si>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</si>
  <si>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</si>
  <si>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</si>
  <si>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</si>
  <si>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</si>
  <si>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</si>
  <si>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</si>
  <si>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</si>
  <si>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</si>
  <si>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</si>
  <si>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</si>
  <si>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</si>
  <si>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</si>
  <si>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</si>
  <si>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</si>
  <si>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</si>
  <si>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</si>
  <si>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</si>
  <si>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</si>
  <si>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</si>
  <si>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</si>
  <si>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</si>
  <si>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</si>
  <si>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</si>
  <si>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</si>
  <si>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</si>
  <si>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</si>
  <si>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</si>
  <si>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</si>
  <si>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</si>
  <si>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</si>
  <si>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</si>
  <si>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</si>
  <si>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</si>
  <si>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</si>
  <si>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</si>
  <si>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</si>
  <si>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</si>
  <si>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</si>
  <si>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</si>
  <si>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</si>
  <si>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</si>
  <si>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</si>
  <si>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</si>
  <si>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</si>
  <si>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</si>
  <si>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</si>
  <si>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</si>
  <si>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</si>
  <si>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</si>
  <si>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</si>
  <si>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</si>
  <si>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</si>
  <si>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</si>
  <si>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</si>
  <si>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</si>
  <si>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</si>
  <si>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</si>
  <si>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</si>
  <si>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</si>
  <si>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</si>
  <si>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</si>
  <si>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</si>
  <si>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</si>
  <si>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</si>
  <si>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</si>
  <si>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</si>
  <si>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</si>
  <si>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</si>
  <si>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</si>
  <si>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</si>
  <si>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</si>
  <si>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</si>
  <si>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</si>
  <si>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</si>
  <si>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</si>
  <si>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</si>
  <si>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</si>
  <si>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</si>
  <si>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</si>
  <si>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</si>
  <si>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</si>
  <si>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</si>
  <si>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</si>
  <si>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</si>
  <si>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</si>
  <si>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</si>
  <si>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</si>
  <si>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</si>
  <si>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</si>
  <si>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</si>
  <si>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</si>
  <si>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</si>
  <si>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</si>
  <si>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</si>
  <si>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</si>
  <si>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</si>
  <si>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</si>
  <si>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</si>
  <si>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</si>
  <si>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</si>
  <si>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</si>
  <si>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</si>
  <si>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</si>
  <si>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</si>
  <si>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</si>
  <si>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</si>
  <si>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</si>
  <si>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</si>
  <si>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</si>
  <si>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</si>
  <si>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</si>
  <si>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</si>
  <si>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</si>
  <si>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</si>
  <si>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</si>
  <si>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</si>
  <si>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</si>
  <si>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</si>
  <si>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</si>
  <si>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</si>
  <si>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</si>
  <si>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</si>
  <si>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</si>
  <si>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</si>
  <si>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</si>
  <si>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</si>
  <si>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</si>
  <si>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</si>
  <si>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</si>
  <si>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</si>
  <si>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</si>
  <si>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</si>
  <si>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</si>
  <si>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</si>
  <si>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</si>
  <si>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</si>
  <si>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</si>
  <si>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</si>
  <si>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</si>
  <si>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</si>
  <si>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</si>
  <si>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</si>
  <si>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</si>
  <si>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</si>
  <si>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</si>
  <si>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</si>
  <si>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</si>
  <si>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</si>
  <si>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</si>
  <si>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</si>
  <si>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</si>
  <si>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</si>
  <si>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</si>
  <si>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</si>
  <si>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</si>
  <si>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</si>
  <si>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</si>
  <si>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</si>
  <si>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</si>
  <si>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</si>
  <si>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</si>
  <si>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</si>
  <si>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</si>
  <si>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</si>
  <si>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</si>
  <si>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</si>
  <si>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</si>
  <si>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</si>
  <si>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</si>
  <si>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</si>
  <si>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</si>
  <si>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</si>
  <si>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</si>
  <si>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</si>
  <si>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</si>
  <si>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</si>
  <si>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</si>
  <si>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</si>
  <si>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</si>
  <si>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</si>
  <si>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</si>
  <si>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</si>
  <si>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</si>
  <si>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</si>
  <si>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</si>
  <si>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</si>
  <si>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</si>
  <si>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</si>
  <si>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</si>
  <si>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</si>
  <si>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</si>
  <si>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</si>
  <si>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</si>
  <si>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</si>
  <si>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</si>
  <si>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</si>
  <si>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</si>
  <si>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</si>
  <si>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</si>
  <si>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</si>
  <si>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</si>
  <si>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</si>
  <si>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</si>
  <si>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</si>
  <si>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</si>
  <si>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</si>
  <si>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</si>
  <si>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</si>
  <si>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</si>
  <si>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</si>
  <si>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</si>
  <si>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</si>
  <si>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</si>
  <si>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</si>
  <si>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</si>
  <si>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</si>
  <si>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</si>
  <si>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</si>
  <si>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</si>
  <si>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</si>
  <si>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</si>
  <si>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</si>
  <si>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</si>
  <si>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</si>
  <si>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</si>
  <si>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</si>
  <si>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</si>
  <si>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</si>
  <si>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</si>
  <si>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</si>
  <si>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</si>
  <si>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</si>
  <si>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</si>
  <si>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</si>
  <si>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</si>
  <si>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</si>
  <si>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</si>
  <si>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</si>
  <si>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</si>
  <si>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</si>
  <si>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</si>
  <si>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</si>
  <si>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</si>
  <si>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</si>
  <si>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</si>
  <si>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</si>
  <si>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</si>
  <si>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</si>
  <si>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</si>
  <si>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</si>
  <si>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</si>
  <si>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</si>
  <si>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</si>
  <si>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</si>
  <si>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</si>
  <si>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</si>
  <si>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</si>
  <si>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</si>
  <si>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</si>
  <si>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</si>
  <si>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</si>
  <si>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</si>
  <si>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</si>
  <si>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</si>
  <si>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</si>
  <si>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</si>
  <si>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</si>
  <si>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</si>
  <si>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</si>
  <si>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</si>
  <si>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</si>
  <si>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</si>
  <si>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</si>
  <si>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</si>
  <si>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</si>
  <si>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</si>
  <si>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</si>
  <si>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</si>
  <si>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</si>
  <si>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</si>
  <si>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</si>
  <si>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</si>
  <si>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</si>
  <si>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</si>
  <si>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</si>
  <si>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</si>
  <si>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</si>
  <si>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</si>
  <si>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</si>
  <si>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</si>
  <si>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</si>
  <si>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</si>
  <si>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</si>
  <si>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</si>
  <si>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</si>
  <si>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</si>
  <si>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</si>
  <si>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</si>
  <si>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</si>
  <si>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</si>
  <si>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</si>
  <si>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</si>
  <si>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</si>
  <si>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</si>
  <si>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</si>
  <si>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</si>
  <si>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</si>
  <si>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</si>
  <si>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</si>
  <si>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</si>
  <si>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</si>
  <si>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</si>
  <si>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</si>
  <si>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</si>
  <si>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</si>
  <si>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</si>
  <si>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</si>
  <si>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</si>
  <si>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</si>
  <si>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</si>
  <si>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</si>
  <si>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</si>
  <si>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</si>
  <si>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</si>
  <si>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</si>
  <si>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</si>
  <si>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</si>
  <si>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</si>
  <si>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</si>
  <si>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</si>
  <si>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</si>
  <si>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</si>
  <si>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</si>
  <si>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</si>
  <si>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</si>
  <si>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</si>
  <si>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</si>
  <si>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</si>
  <si>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</si>
  <si>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</si>
  <si>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</si>
  <si>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</si>
  <si>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</si>
  <si>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</si>
  <si>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</si>
  <si>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</si>
  <si>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</si>
  <si>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</si>
  <si>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</si>
  <si>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</si>
  <si>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</si>
  <si>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</si>
  <si>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</si>
  <si>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</si>
  <si>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</si>
  <si>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</si>
  <si>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</si>
  <si>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</si>
  <si>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</si>
  <si>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</si>
  <si>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</si>
  <si>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</si>
  <si>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</si>
  <si>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</si>
  <si>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</si>
  <si>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</si>
  <si>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</si>
  <si>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</si>
  <si>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</si>
  <si>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</si>
  <si>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</si>
  <si>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</si>
  <si>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</si>
  <si>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</si>
  <si>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</si>
  <si>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</si>
  <si>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</si>
  <si>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</si>
  <si>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</si>
  <si>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</si>
  <si>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</si>
  <si>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</si>
  <si>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</si>
  <si>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</si>
  <si>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</si>
  <si>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</si>
  <si>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</si>
  <si>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</si>
  <si>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</si>
  <si>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</si>
  <si>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</si>
  <si>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</si>
  <si>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</si>
  <si>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</si>
  <si>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</si>
  <si>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</si>
  <si>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</si>
  <si>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</si>
  <si>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</si>
  <si>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</si>
  <si>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</si>
  <si>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</si>
  <si>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</si>
  <si>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</si>
  <si>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</si>
  <si>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</si>
  <si>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</si>
  <si>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</si>
  <si>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</si>
  <si>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</si>
  <si>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</si>
  <si>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</si>
  <si>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</si>
  <si>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</si>
  <si>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</si>
  <si>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</si>
  <si>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</si>
  <si>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</si>
  <si>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</si>
  <si>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</si>
  <si>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</si>
  <si>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</si>
  <si>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</si>
  <si>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</si>
  <si>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</si>
  <si>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</si>
  <si>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</si>
  <si>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</si>
  <si>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</si>
  <si>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</si>
  <si>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</si>
  <si>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</si>
  <si>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</si>
  <si>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</si>
  <si>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</si>
  <si>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</si>
  <si>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</si>
  <si>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</si>
  <si>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</si>
  <si>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</si>
  <si>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</si>
  <si>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</si>
  <si>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</si>
  <si>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</si>
  <si>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</si>
  <si>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</si>
  <si>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</si>
  <si>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</si>
  <si>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</si>
  <si>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</si>
  <si>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</si>
  <si>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</si>
  <si>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</si>
  <si>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</si>
  <si>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</si>
  <si>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</si>
  <si>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</si>
  <si>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</si>
  <si>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</si>
  <si>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</si>
  <si>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</si>
  <si>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</si>
  <si>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</si>
  <si>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</si>
  <si>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</si>
  <si>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</si>
  <si>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</si>
  <si>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</si>
  <si>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</si>
  <si>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</si>
  <si>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</si>
  <si>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</si>
  <si>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</si>
  <si>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</si>
  <si>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</si>
  <si>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</si>
  <si>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</si>
  <si>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</si>
  <si>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</si>
  <si>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</si>
  <si>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</si>
  <si>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</si>
  <si>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</si>
  <si>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</si>
  <si>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</si>
  <si>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</si>
  <si>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</si>
  <si>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</si>
  <si>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</si>
  <si>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</si>
  <si>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</si>
  <si>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</si>
  <si>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</si>
  <si>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</si>
  <si>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</si>
  <si>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</si>
  <si>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</si>
  <si>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</si>
  <si>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</si>
  <si>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</si>
  <si>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</si>
  <si>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</si>
  <si>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</si>
  <si>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</si>
  <si>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</si>
  <si>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</si>
  <si>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</si>
  <si>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</si>
  <si>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</si>
  <si>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</si>
  <si>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</si>
  <si>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</si>
  <si>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</si>
  <si>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</si>
  <si>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</si>
  <si>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</si>
  <si>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</si>
  <si>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</si>
  <si>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</si>
  <si>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</si>
  <si>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</si>
  <si>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</si>
  <si>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</si>
  <si>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</si>
  <si>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</si>
  <si>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</si>
  <si>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</si>
  <si>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</si>
  <si>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</si>
  <si>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</si>
  <si>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</si>
  <si>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</si>
  <si>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</si>
  <si>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</si>
  <si>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</si>
  <si>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</si>
  <si>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</si>
  <si>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</si>
  <si>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</si>
  <si>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</si>
  <si>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</si>
  <si>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</si>
  <si>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</si>
  <si>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</si>
  <si>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</si>
  <si>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</si>
  <si>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</si>
  <si>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</si>
  <si>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</si>
  <si>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</si>
  <si>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</si>
  <si>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</si>
  <si>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</si>
  <si>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</si>
  <si>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</si>
  <si>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</si>
  <si>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</si>
  <si>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</si>
  <si>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</si>
  <si>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</si>
  <si>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</si>
  <si>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</si>
  <si>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</si>
  <si>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</si>
  <si>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</si>
  <si>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</si>
  <si>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</si>
  <si>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</si>
  <si>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</si>
  <si>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</si>
  <si>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</si>
  <si>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</si>
  <si>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</si>
  <si>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</si>
  <si>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</si>
  <si>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</si>
  <si>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</si>
  <si>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</si>
  <si>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</si>
  <si>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</si>
  <si>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</si>
  <si>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</si>
  <si>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</si>
  <si>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</si>
  <si>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</si>
  <si>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</si>
  <si>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</si>
  <si>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</si>
  <si>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</si>
  <si>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</si>
  <si>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</si>
  <si>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</si>
  <si>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</si>
  <si>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</si>
  <si>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</si>
  <si>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</si>
  <si>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</si>
  <si>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</si>
  <si>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</si>
  <si>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</si>
  <si>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</si>
  <si>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</si>
  <si>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</si>
  <si>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</si>
  <si>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</si>
  <si>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</si>
  <si>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</si>
  <si>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</si>
  <si>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</si>
  <si>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</si>
  <si>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</si>
  <si>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</si>
  <si>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</si>
  <si>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</si>
  <si>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</si>
  <si>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</si>
  <si>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</si>
  <si>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</si>
  <si>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</si>
  <si>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</si>
  <si>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</si>
  <si>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</si>
  <si>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</si>
  <si>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</si>
  <si>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</si>
  <si>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</si>
  <si>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</si>
  <si>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</si>
  <si>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</si>
  <si>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</si>
  <si>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</si>
  <si>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</si>
  <si>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</si>
  <si>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</si>
  <si>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</si>
  <si>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</si>
  <si>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</si>
  <si>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</si>
  <si>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</si>
  <si>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</si>
  <si>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</si>
  <si>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</si>
  <si>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</si>
  <si>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</si>
  <si>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</si>
  <si>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</si>
  <si>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</si>
  <si>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</si>
  <si>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</si>
  <si>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</si>
  <si>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</si>
  <si>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</si>
  <si>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</si>
  <si>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</si>
  <si>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</si>
  <si>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</si>
  <si>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</si>
  <si>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</si>
  <si>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</si>
  <si>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</si>
  <si>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</si>
  <si>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</si>
  <si>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</si>
  <si>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</si>
  <si>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</si>
  <si>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</si>
  <si>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</si>
  <si>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</si>
  <si>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</si>
  <si>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</si>
  <si>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</si>
  <si>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</si>
  <si>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</si>
  <si>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</si>
  <si>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</si>
  <si>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</si>
  <si>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</si>
  <si>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</si>
  <si>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</si>
  <si>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</si>
  <si>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</si>
  <si>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</si>
  <si>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</si>
  <si>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</si>
  <si>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</si>
  <si>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</si>
  <si>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</si>
  <si>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</si>
  <si>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</si>
  <si>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</si>
  <si>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</si>
  <si>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</si>
  <si>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</si>
  <si>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</si>
  <si>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</si>
  <si>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</si>
  <si>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</si>
  <si>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</si>
  <si>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</si>
  <si>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</si>
  <si>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</si>
  <si>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</si>
  <si>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</si>
  <si>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</si>
  <si>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</si>
  <si>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</si>
  <si>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</si>
  <si>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</si>
  <si>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</si>
  <si>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</si>
  <si>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</si>
  <si>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</si>
  <si>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</si>
  <si>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</si>
  <si>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</si>
  <si>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</si>
  <si>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</si>
  <si>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</si>
  <si>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</si>
  <si>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</si>
  <si>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</si>
  <si>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</si>
  <si>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</si>
  <si>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</si>
  <si>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</si>
  <si>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</si>
  <si>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</si>
  <si>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</si>
  <si>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</si>
  <si>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</si>
  <si>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</si>
  <si>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</si>
  <si>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</si>
  <si>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</si>
  <si>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</si>
  <si>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</si>
  <si>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</si>
  <si>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</si>
  <si>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</si>
  <si>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</si>
  <si>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</si>
  <si>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</si>
  <si>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</si>
  <si>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</si>
  <si>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</si>
  <si>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</si>
  <si>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</si>
  <si>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</si>
  <si>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</si>
  <si>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</si>
  <si>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</si>
  <si>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</si>
  <si>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</si>
  <si>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</si>
  <si>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</si>
  <si>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</si>
  <si>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</si>
  <si>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</si>
  <si>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</si>
  <si>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</si>
  <si>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</si>
  <si>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</si>
  <si>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</si>
  <si>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</si>
  <si>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</si>
  <si>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</si>
  <si>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</si>
  <si>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</si>
  <si>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</si>
  <si>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</si>
  <si>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</si>
  <si>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</si>
  <si>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</si>
  <si>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</si>
  <si>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</si>
  <si>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</si>
  <si>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</si>
  <si>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</si>
  <si>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</si>
  <si>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</si>
  <si>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</si>
  <si>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</si>
  <si>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</si>
  <si>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</si>
  <si>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</si>
  <si>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</si>
  <si>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</si>
  <si>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</si>
  <si>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</si>
  <si>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</si>
  <si>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</si>
  <si>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</si>
  <si>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</si>
  <si>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</si>
  <si>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</si>
  <si>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</si>
  <si>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</si>
  <si>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</si>
  <si>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</si>
  <si>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</si>
  <si>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</si>
  <si>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</si>
  <si>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</si>
  <si>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</si>
  <si>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</si>
  <si>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</si>
  <si>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</si>
  <si>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</si>
  <si>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</si>
  <si>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</si>
  <si>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</si>
  <si>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</si>
  <si>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</si>
  <si>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</si>
  <si>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</si>
  <si>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</si>
  <si>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</si>
  <si>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</si>
  <si>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</si>
  <si>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</si>
  <si>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</si>
  <si>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</si>
  <si>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</si>
  <si>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</si>
  <si>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</si>
  <si>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</si>
  <si>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</si>
  <si>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</si>
  <si>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</si>
  <si>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</si>
  <si>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</si>
  <si>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</si>
  <si>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</si>
  <si>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</si>
  <si>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</si>
  <si>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</si>
  <si>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</si>
  <si>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</si>
  <si>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</si>
  <si>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</si>
  <si>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</si>
  <si>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</si>
  <si>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</si>
  <si>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</si>
  <si>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</si>
  <si>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</si>
  <si>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</si>
  <si>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</si>
  <si>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</si>
  <si>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</si>
  <si>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</si>
  <si>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</si>
  <si>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</si>
  <si>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</si>
  <si>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</si>
  <si>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</si>
  <si>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</si>
  <si>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</si>
  <si>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</si>
  <si>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</si>
  <si>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</si>
  <si>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</si>
  <si>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</si>
  <si>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</si>
  <si>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</si>
  <si>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</si>
  <si>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</si>
  <si>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</si>
  <si>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</si>
  <si>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</si>
  <si>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</si>
  <si>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</si>
  <si>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</si>
  <si>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</si>
  <si>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</si>
  <si>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</si>
  <si>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</si>
  <si>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</si>
  <si>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</si>
  <si>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</si>
  <si>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</si>
  <si>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</si>
  <si>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</si>
  <si>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</si>
  <si>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</si>
  <si>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</si>
  <si>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</si>
  <si>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</si>
  <si>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</si>
  <si>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</si>
  <si>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</si>
  <si>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</si>
  <si>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</si>
  <si>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</si>
  <si>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</si>
  <si>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</si>
  <si>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</si>
  <si>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</si>
  <si>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</si>
  <si>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</si>
  <si>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</si>
  <si>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</si>
  <si>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</si>
  <si>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</si>
  <si>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</si>
  <si>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</si>
  <si>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</si>
  <si>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</si>
  <si>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</si>
  <si>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</si>
  <si>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</si>
  <si>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</si>
  <si>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</si>
  <si>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</si>
  <si>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</si>
  <si>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</si>
  <si>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</si>
  <si>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</si>
  <si>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</si>
  <si>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</si>
  <si>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</si>
  <si>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</si>
  <si>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</si>
  <si>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</si>
  <si>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</si>
  <si>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</si>
  <si>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</si>
  <si>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</si>
  <si>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</si>
  <si>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</si>
  <si>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</si>
  <si>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</si>
  <si>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</si>
  <si>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</si>
  <si>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</si>
  <si>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</si>
  <si>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</si>
  <si>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</si>
  <si>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</si>
  <si>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</si>
  <si>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</si>
  <si>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</si>
  <si>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</si>
  <si>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</si>
  <si>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</si>
  <si>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</si>
  <si>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</si>
  <si>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</si>
  <si>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</si>
  <si>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</si>
  <si>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</si>
  <si>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</si>
  <si>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</si>
  <si>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</si>
  <si>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</si>
  <si>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</si>
  <si>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</si>
  <si>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</si>
  <si>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</si>
  <si>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</si>
  <si>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</si>
  <si>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</si>
  <si>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</si>
  <si>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</si>
  <si>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</si>
  <si>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</si>
  <si>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</si>
  <si>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</si>
  <si>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</si>
  <si>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</si>
  <si>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</si>
  <si>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</si>
  <si>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</si>
  <si>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</si>
  <si>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</si>
  <si>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</si>
  <si>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</si>
  <si>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</si>
  <si>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</si>
  <si>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</si>
  <si>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</si>
  <si>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</si>
  <si>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</si>
  <si>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</si>
  <si>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</si>
  <si>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</si>
  <si>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</si>
  <si>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</si>
  <si>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</si>
  <si>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</si>
  <si>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</si>
  <si>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</si>
  <si>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</si>
  <si>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</si>
  <si>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</si>
  <si>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</si>
  <si>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</si>
  <si>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</si>
  <si>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</si>
  <si>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</si>
  <si>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</si>
  <si>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</si>
  <si>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</si>
  <si>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</si>
  <si>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</si>
  <si>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</si>
  <si>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</si>
  <si>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</si>
  <si>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</si>
  <si>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</si>
  <si>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</si>
  <si>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</si>
  <si>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</si>
  <si>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</si>
  <si>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</si>
  <si>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</si>
  <si>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</si>
  <si>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</si>
  <si>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</si>
  <si>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</si>
  <si>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</si>
  <si>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</si>
  <si>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</si>
  <si>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</si>
  <si>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</si>
  <si>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</si>
  <si>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</si>
  <si>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</si>
  <si>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</si>
  <si>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</si>
  <si>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</si>
  <si>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</si>
  <si>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</si>
  <si>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</si>
  <si>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</si>
  <si>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</si>
  <si>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</si>
  <si>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</si>
  <si>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</si>
  <si>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</si>
  <si>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</si>
  <si>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</si>
  <si>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</si>
  <si>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</si>
  <si>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</si>
  <si>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</si>
  <si>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</si>
  <si>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</si>
  <si>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</si>
  <si>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</si>
  <si>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</si>
  <si>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</si>
  <si>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</si>
  <si>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</si>
  <si>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</si>
  <si>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</si>
  <si>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</si>
  <si>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</si>
  <si>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</si>
  <si>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</si>
  <si>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</si>
  <si>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</si>
  <si>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</si>
  <si>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</si>
  <si>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</si>
  <si>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</si>
  <si>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</si>
  <si>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</si>
  <si>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</si>
  <si>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</si>
  <si>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</si>
  <si>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</si>
  <si>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</si>
  <si>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</si>
  <si>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</si>
  <si>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</si>
  <si>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</si>
  <si>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</si>
  <si>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</si>
  <si>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</si>
  <si>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</si>
  <si>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</si>
  <si>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</si>
  <si>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</si>
  <si>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</si>
  <si>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</si>
  <si>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</si>
  <si>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</si>
  <si>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</si>
  <si>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</si>
  <si>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</si>
  <si>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</si>
  <si>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</si>
  <si>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</si>
  <si>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</si>
  <si>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</si>
  <si>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</si>
  <si>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</si>
  <si>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</si>
  <si>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</si>
  <si>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</si>
  <si>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</si>
  <si>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</si>
  <si>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</si>
  <si>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</si>
  <si>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</si>
  <si>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</si>
  <si>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</si>
  <si>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</si>
  <si>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</si>
  <si>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</si>
  <si>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</si>
  <si>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</si>
  <si>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</si>
  <si>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</si>
  <si>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</si>
  <si>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</si>
  <si>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</si>
  <si>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</si>
  <si>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</si>
  <si>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</si>
  <si>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</si>
  <si>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</si>
  <si>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</si>
  <si>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</si>
  <si>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</si>
  <si>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</si>
  <si>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</si>
  <si>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</si>
  <si>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</si>
  <si>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</si>
  <si>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</si>
  <si>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</si>
  <si>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</si>
  <si>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</si>
  <si>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</si>
  <si>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</si>
  <si>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</si>
  <si>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</si>
  <si>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</si>
  <si>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</si>
  <si>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</si>
  <si>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</si>
  <si>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</si>
  <si>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</si>
  <si>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</si>
  <si>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</si>
  <si>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</si>
  <si>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</si>
  <si>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</si>
  <si>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</si>
  <si>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</si>
  <si>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</si>
  <si>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</si>
  <si>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</si>
  <si>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</si>
  <si>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</si>
  <si>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</si>
  <si>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</si>
  <si>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</si>
  <si>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</si>
  <si>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</si>
  <si>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</si>
  <si>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</si>
  <si>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</si>
  <si>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</si>
  <si>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</si>
  <si>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</si>
  <si>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</si>
  <si>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</si>
  <si>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</si>
  <si>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</si>
  <si>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</si>
  <si>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</si>
  <si>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</si>
  <si>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</si>
  <si>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</si>
  <si>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</si>
  <si>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</si>
  <si>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</si>
  <si>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</si>
  <si>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</si>
  <si>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</si>
  <si>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</si>
  <si>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</si>
  <si>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</si>
  <si>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</si>
  <si>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</si>
  <si>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</si>
  <si>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</si>
  <si>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</si>
  <si>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</si>
  <si>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</si>
  <si>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</si>
  <si>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</si>
  <si>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</si>
  <si>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11250206587</t>
  </si>
  <si>
    <t>04090128</t>
  </si>
  <si>
    <t>110039600</t>
  </si>
  <si>
    <t>GRAČAC ČISTOĆA d.o.o.</t>
  </si>
  <si>
    <t>Park Sv.Jurja 1</t>
  </si>
  <si>
    <t>cistoca@gracac.hr</t>
  </si>
  <si>
    <t>023/773 925</t>
  </si>
  <si>
    <t>97776963</t>
  </si>
  <si>
    <t>Gracija, obrt za knjig.usluge</t>
  </si>
  <si>
    <t>Gracijela Stura</t>
  </si>
  <si>
    <t>023/ 644 298</t>
  </si>
  <si>
    <t>gracija.stura@gmail.com</t>
  </si>
  <si>
    <t>Marko Gale</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</si>
</sst>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 fillId="0" borderId="48" xfId="0" applyFont="1" applyFill="1" applyBorder="1" applyAlignment="1" applyProtection="1">
      <alignment horizontal="left" vertical="center" wrapText="1"/>
      <protection hidden="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40452.86</v>
      </c>
      <c r="I3" s="31">
        <f>ABS(ROUND(J3,0)-J3)+ABS(ROUND(K3,0)-K3)</f>
        <v>0</v>
      </c>
      <c r="J3" s="31">
        <f>Bilanca!I10</f>
        <v>764721</v>
      </c>
      <c r="K3" s="31">
        <f>Bilanca!J10</f>
        <v>628961</v>
      </c>
    </row>
    <row r="4" spans="1:11" ht="12.75">
      <c r="A4" s="4" t="s">
        <v>1088</v>
      </c>
      <c r="B4" s="29" t="s">
        <v>1888</v>
      </c>
      <c r="D4" s="4" t="s">
        <v>1521</v>
      </c>
      <c r="E4" s="4">
        <v>1</v>
      </c>
      <c r="F4" s="4">
        <f>Bilanca!G11</f>
        <v>3</v>
      </c>
      <c r="G4" s="4">
        <f>IF(Bilanca!H11=0,"",Bilanca!H11)</f>
      </c>
      <c r="H4" s="30">
        <f>J4/100*F4+2*K4/100*F4</f>
        <v>1813.44</v>
      </c>
      <c r="I4" s="31">
        <f>ABS(ROUND(J4,0)-J4)+ABS(ROUND(K4,0)-K4)</f>
        <v>0</v>
      </c>
      <c r="J4" s="31">
        <f>Bilanca!I11</f>
        <v>60448</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04090128</v>
      </c>
      <c r="D6" s="4" t="s">
        <v>1521</v>
      </c>
      <c r="E6" s="4">
        <v>1</v>
      </c>
      <c r="F6" s="4">
        <f>Bilanca!G13</f>
        <v>5</v>
      </c>
      <c r="G6" s="4">
        <f>IF(Bilanca!H13=0,"",Bilanca!H13)</f>
      </c>
      <c r="H6" s="30">
        <f aca="true" t="shared" si="0" ref="H6:H45">J6/100*F6+2*K6/100*F6</f>
        <v>3022.4</v>
      </c>
      <c r="I6" s="31">
        <f aca="true" t="shared" si="1" ref="I6:I45">ABS(ROUND(J6,0)-J6)+ABS(ROUND(K6,0)-K6)</f>
        <v>0</v>
      </c>
      <c r="J6" s="31">
        <f>Bilanca!I13</f>
        <v>60448</v>
      </c>
      <c r="K6" s="31">
        <f>Bilanca!J13</f>
        <v>0</v>
      </c>
    </row>
    <row r="7" spans="1:11" ht="12.75">
      <c r="A7" s="4" t="s">
        <v>2353</v>
      </c>
      <c r="B7" s="29" t="str">
        <f>RefStr!M27</f>
        <v>110039600</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11250206587</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GRAČAC ČISTOĆA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23440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Gračac</v>
      </c>
      <c r="D11" s="4" t="s">
        <v>1521</v>
      </c>
      <c r="E11" s="4">
        <v>1</v>
      </c>
      <c r="F11" s="4">
        <f>Bilanca!G18</f>
        <v>10</v>
      </c>
      <c r="G11" s="4">
        <f>IF(Bilanca!H18=0,"",Bilanca!H18)</f>
      </c>
      <c r="H11" s="30">
        <f t="shared" si="0"/>
        <v>196219.5</v>
      </c>
      <c r="I11" s="31">
        <f t="shared" si="1"/>
        <v>0</v>
      </c>
      <c r="J11" s="31">
        <f>Bilanca!I18</f>
        <v>704273</v>
      </c>
      <c r="K11" s="31">
        <f>Bilanca!J18</f>
        <v>628961</v>
      </c>
    </row>
    <row r="12" spans="1:11" ht="12.75">
      <c r="A12" s="4" t="s">
        <v>2357</v>
      </c>
      <c r="B12" s="29" t="str">
        <f>TRIM(RefStr!C33)</f>
        <v>Park Sv.Jurja 1</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cistoca@gracac.hr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13</v>
      </c>
      <c r="D15" s="4" t="s">
        <v>1521</v>
      </c>
      <c r="E15" s="4">
        <v>1</v>
      </c>
      <c r="F15" s="4">
        <f>Bilanca!G22</f>
        <v>14</v>
      </c>
      <c r="G15" s="4">
        <f>IF(Bilanca!H22=0,"",Bilanca!H22)</f>
      </c>
      <c r="H15" s="30">
        <f t="shared" si="0"/>
        <v>274707.3</v>
      </c>
      <c r="I15" s="31">
        <f t="shared" si="1"/>
        <v>0</v>
      </c>
      <c r="J15" s="31">
        <f>Bilanca!I22</f>
        <v>704273</v>
      </c>
      <c r="K15" s="31">
        <f>Bilanca!J22</f>
        <v>628961</v>
      </c>
    </row>
    <row r="16" spans="1:11" ht="12.75">
      <c r="A16" s="4" t="s">
        <v>2359</v>
      </c>
      <c r="B16" s="29" t="str">
        <f>TEXT(RefStr!C39,"000")</f>
        <v>131</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18</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18</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17</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17</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97776963</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Gracija, obrt za knjig.usluge</v>
      </c>
      <c r="D38" s="4" t="s">
        <v>1521</v>
      </c>
      <c r="E38" s="4">
        <v>1</v>
      </c>
      <c r="F38" s="4">
        <f>Bilanca!G45</f>
        <v>37</v>
      </c>
      <c r="G38" s="4">
        <f>IF(Bilanca!H45=0,"",Bilanca!H45)</f>
      </c>
      <c r="H38" s="30">
        <f t="shared" si="0"/>
        <v>1514334.1500000001</v>
      </c>
      <c r="I38" s="31">
        <f t="shared" si="1"/>
        <v>0</v>
      </c>
      <c r="J38" s="31">
        <f>Bilanca!I45</f>
        <v>1402279</v>
      </c>
      <c r="K38" s="31">
        <f>Bilanca!J45</f>
        <v>1345258</v>
      </c>
    </row>
    <row r="39" spans="1:11" ht="12.75">
      <c r="A39" s="4" t="s">
        <v>1216</v>
      </c>
      <c r="B39" s="29" t="str">
        <f>RefStr!C68</f>
        <v>Gracijela Stura</v>
      </c>
      <c r="D39" s="4" t="s">
        <v>1521</v>
      </c>
      <c r="E39" s="4">
        <v>1</v>
      </c>
      <c r="F39" s="4">
        <f>Bilanca!G46</f>
        <v>38</v>
      </c>
      <c r="G39" s="4">
        <f>IF(Bilanca!H46=0,"",Bilanca!H46)</f>
      </c>
      <c r="H39" s="30">
        <f t="shared" si="0"/>
        <v>65778.38</v>
      </c>
      <c r="I39" s="31">
        <f t="shared" si="1"/>
        <v>0</v>
      </c>
      <c r="J39" s="31">
        <f>Bilanca!I46</f>
        <v>64889</v>
      </c>
      <c r="K39" s="31">
        <f>Bilanca!J46</f>
        <v>54106</v>
      </c>
    </row>
    <row r="40" spans="1:11" ht="12.75">
      <c r="A40" s="4" t="s">
        <v>1217</v>
      </c>
      <c r="B40" s="29" t="str">
        <f>TRIM(RefStr!C70)</f>
        <v>023/ 644 298</v>
      </c>
      <c r="D40" s="4" t="s">
        <v>1521</v>
      </c>
      <c r="E40" s="4">
        <v>1</v>
      </c>
      <c r="F40" s="4">
        <f>Bilanca!G47</f>
        <v>39</v>
      </c>
      <c r="G40" s="4">
        <f>IF(Bilanca!H47=0,"",Bilanca!H47)</f>
      </c>
      <c r="H40" s="30">
        <f t="shared" si="0"/>
        <v>67509.38999999998</v>
      </c>
      <c r="I40" s="31">
        <f t="shared" si="1"/>
        <v>0</v>
      </c>
      <c r="J40" s="31">
        <f>Bilanca!I47</f>
        <v>64889</v>
      </c>
      <c r="K40" s="31">
        <f>Bilanca!J47</f>
        <v>54106</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gracija.stura@gmail.com</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Marko Gale</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1511019.96</v>
      </c>
      <c r="I47" s="31">
        <f t="shared" si="3"/>
        <v>0</v>
      </c>
      <c r="J47" s="31">
        <f>Bilanca!I54</f>
        <v>1207866</v>
      </c>
      <c r="K47" s="31">
        <f>Bilanca!J54</f>
        <v>1038480</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1564258.3599999999</v>
      </c>
      <c r="I50" s="31">
        <f t="shared" si="3"/>
        <v>0</v>
      </c>
      <c r="J50" s="31">
        <f>Bilanca!I57</f>
        <v>1192514</v>
      </c>
      <c r="K50" s="31">
        <f>Bilanca!J57</f>
        <v>999925</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47155.619999999995</v>
      </c>
      <c r="I52" s="31">
        <f t="shared" si="3"/>
        <v>0</v>
      </c>
      <c r="J52" s="31">
        <f>Bilanca!I59</f>
        <v>15352</v>
      </c>
      <c r="K52" s="31">
        <f>Bilanca!J59</f>
        <v>38555</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277201010.79999995</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399966.83999999997</v>
      </c>
      <c r="I64" s="31">
        <f t="shared" si="3"/>
        <v>0</v>
      </c>
      <c r="J64" s="31">
        <f>Bilanca!I71</f>
        <v>129524</v>
      </c>
      <c r="K64" s="31">
        <f>Bilanca!J71</f>
        <v>252672</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3975034.6999999997</v>
      </c>
      <c r="I66" s="31">
        <f t="shared" si="3"/>
        <v>0</v>
      </c>
      <c r="J66" s="31">
        <f>Bilanca!I73</f>
        <v>2167000</v>
      </c>
      <c r="K66" s="31">
        <f>Bilanca!J73</f>
        <v>1974219</v>
      </c>
    </row>
    <row r="67" spans="1:11" ht="12.75">
      <c r="A67" s="4" t="s">
        <v>689</v>
      </c>
      <c r="B67" s="29" t="str">
        <f>RefStr!L35</f>
        <v>023/773 925</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3444672.34</v>
      </c>
      <c r="I68" s="31">
        <f t="shared" si="3"/>
        <v>0</v>
      </c>
      <c r="J68" s="31">
        <f>Bilanca!I76</f>
        <v>1782418</v>
      </c>
      <c r="K68" s="31">
        <f>Bilanca!J76</f>
        <v>1679442</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3892712.58</v>
      </c>
      <c r="I82" s="31">
        <f t="shared" si="3"/>
        <v>0</v>
      </c>
      <c r="J82" s="31">
        <f>Bilanca!I90</f>
        <v>1280982</v>
      </c>
      <c r="K82" s="31">
        <f>Bilanca!J90</f>
        <v>1762418</v>
      </c>
    </row>
    <row r="83" spans="4:11" ht="12.75">
      <c r="D83" s="4" t="s">
        <v>1521</v>
      </c>
      <c r="E83" s="4">
        <v>1</v>
      </c>
      <c r="F83" s="4">
        <f>Bilanca!G91</f>
        <v>82</v>
      </c>
      <c r="G83" s="4">
        <f>IF(Bilanca!H91=0,"",Bilanca!H91)</f>
      </c>
      <c r="H83" s="30">
        <f t="shared" si="2"/>
        <v>3940770.76</v>
      </c>
      <c r="I83" s="31">
        <f t="shared" si="3"/>
        <v>0</v>
      </c>
      <c r="J83" s="31">
        <f>Bilanca!I91</f>
        <v>1280982</v>
      </c>
      <c r="K83" s="31">
        <f>Bilanca!J91</f>
        <v>1762418</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231406.56</v>
      </c>
      <c r="I85" s="31">
        <f>ABS(ROUND(J85,0)-J85)+ABS(ROUND(K85,0)-K85)</f>
        <v>0</v>
      </c>
      <c r="J85" s="31">
        <f>Bilanca!I93</f>
        <v>481436</v>
      </c>
      <c r="K85" s="31">
        <f>Bilanca!J93</f>
        <v>-102976</v>
      </c>
    </row>
    <row r="86" spans="4:11" ht="12.75">
      <c r="D86" s="4" t="s">
        <v>1521</v>
      </c>
      <c r="E86" s="4">
        <v>1</v>
      </c>
      <c r="F86" s="4">
        <f>Bilanca!G94</f>
        <v>85</v>
      </c>
      <c r="G86" s="4">
        <f>IF(Bilanca!H94=0,"",Bilanca!H94)</f>
      </c>
      <c r="H86" s="30">
        <f>J86/100*F86+2*K86/100*F86</f>
        <v>409220.6</v>
      </c>
      <c r="I86" s="31">
        <f>ABS(ROUND(J86,0)-J86)+ABS(ROUND(K86,0)-K86)</f>
        <v>0</v>
      </c>
      <c r="J86" s="31">
        <f>Bilanca!I94</f>
        <v>481436</v>
      </c>
      <c r="K86" s="31">
        <f>Bilanca!J94</f>
        <v>0</v>
      </c>
    </row>
    <row r="87" spans="4:11" ht="12.75">
      <c r="D87" s="4" t="s">
        <v>1521</v>
      </c>
      <c r="E87" s="4">
        <v>1</v>
      </c>
      <c r="F87" s="4">
        <f>Bilanca!G95</f>
        <v>86</v>
      </c>
      <c r="G87" s="4">
        <f>IF(Bilanca!H95=0,"",Bilanca!H95)</f>
      </c>
      <c r="H87" s="30">
        <f aca="true" t="shared" si="4" ref="H87:H127">J87/100*F87+2*K87/100*F87</f>
        <v>177118.72</v>
      </c>
      <c r="I87" s="31">
        <f aca="true" t="shared" si="5" ref="I87:I127">ABS(ROUND(J87,0)-J87)+ABS(ROUND(K87,0)-K87)</f>
        <v>0</v>
      </c>
      <c r="J87" s="31">
        <f>Bilanca!I95</f>
        <v>0</v>
      </c>
      <c r="K87" s="31">
        <f>Bilanca!J95</f>
        <v>102976</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1042325.52</v>
      </c>
      <c r="I108" s="31">
        <f t="shared" si="5"/>
        <v>0</v>
      </c>
      <c r="J108" s="31">
        <f>Bilanca!I116</f>
        <v>384582</v>
      </c>
      <c r="K108" s="31">
        <f>Bilanca!J116</f>
        <v>294777</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340281.55</v>
      </c>
      <c r="I116" s="31">
        <f t="shared" si="5"/>
        <v>0</v>
      </c>
      <c r="J116" s="31">
        <f>Bilanca!I124</f>
        <v>72089</v>
      </c>
      <c r="K116" s="31">
        <f>Bilanca!J124</f>
        <v>111904</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330083.91</v>
      </c>
      <c r="I118" s="31">
        <f t="shared" si="5"/>
        <v>0</v>
      </c>
      <c r="J118" s="31">
        <f>Bilanca!I126</f>
        <v>100011</v>
      </c>
      <c r="K118" s="31">
        <f>Bilanca!J126</f>
        <v>91056</v>
      </c>
    </row>
    <row r="119" spans="4:11" ht="12.75">
      <c r="D119" s="4" t="s">
        <v>1521</v>
      </c>
      <c r="E119" s="4">
        <v>1</v>
      </c>
      <c r="F119" s="4">
        <f>Bilanca!G127</f>
        <v>118</v>
      </c>
      <c r="G119" s="4">
        <f>IF(Bilanca!H127=0,"",Bilanca!H127)</f>
      </c>
      <c r="H119" s="30">
        <f t="shared" si="4"/>
        <v>467416.88</v>
      </c>
      <c r="I119" s="31">
        <f t="shared" si="5"/>
        <v>0</v>
      </c>
      <c r="J119" s="31">
        <f>Bilanca!I127</f>
        <v>212482</v>
      </c>
      <c r="K119" s="31">
        <f>Bilanca!J127</f>
        <v>91817</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7521988.739999999</v>
      </c>
      <c r="I124" s="31">
        <f t="shared" si="5"/>
        <v>0</v>
      </c>
      <c r="J124" s="31">
        <f>Bilanca!I132</f>
        <v>2167000</v>
      </c>
      <c r="K124" s="31">
        <f>Bilanca!J132</f>
        <v>1974219</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10156772.5</v>
      </c>
      <c r="I126" s="4">
        <f t="shared" si="5"/>
        <v>0</v>
      </c>
      <c r="J126" s="31">
        <f>RDG!I8</f>
        <v>2974116</v>
      </c>
      <c r="K126" s="31">
        <f>RDG!J8</f>
        <v>2575651</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10319280.86</v>
      </c>
      <c r="I128" s="4">
        <f aca="true" t="shared" si="7" ref="I128:I190">ABS(ROUND(J128,0)-J128)+ABS(ROUND(K128,0)-K128)</f>
        <v>0</v>
      </c>
      <c r="J128" s="31">
        <f>RDG!I10</f>
        <v>2974116</v>
      </c>
      <c r="K128" s="31">
        <f>RDG!J10</f>
        <v>2575651</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0</v>
      </c>
      <c r="I131" s="4">
        <f t="shared" si="7"/>
        <v>0</v>
      </c>
      <c r="J131" s="31">
        <f>RDG!I13</f>
        <v>0</v>
      </c>
      <c r="K131" s="31">
        <f>RDG!J13</f>
        <v>0</v>
      </c>
    </row>
    <row r="132" spans="4:11" ht="12.75">
      <c r="D132" s="4" t="s">
        <v>541</v>
      </c>
      <c r="E132" s="4">
        <v>2</v>
      </c>
      <c r="F132" s="4">
        <f>RDG!G14</f>
        <v>131</v>
      </c>
      <c r="G132" s="4">
        <f>IF(RDG!H14=0,"",RDG!H14)</f>
      </c>
      <c r="H132" s="30">
        <f t="shared" si="6"/>
        <v>11183479.170000002</v>
      </c>
      <c r="I132" s="4">
        <f t="shared" si="7"/>
        <v>0</v>
      </c>
      <c r="J132" s="31">
        <f>RDG!I14</f>
        <v>2952181</v>
      </c>
      <c r="K132" s="31">
        <f>RDG!J14</f>
        <v>2792413</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3982634.46</v>
      </c>
      <c r="I134" s="4">
        <f t="shared" si="7"/>
        <v>0</v>
      </c>
      <c r="J134" s="31">
        <f>RDG!I16</f>
        <v>1118980</v>
      </c>
      <c r="K134" s="31">
        <f>RDG!J16</f>
        <v>937741</v>
      </c>
    </row>
    <row r="135" spans="4:11" ht="12.75">
      <c r="D135" s="4" t="s">
        <v>541</v>
      </c>
      <c r="E135" s="4">
        <v>2</v>
      </c>
      <c r="F135" s="4">
        <f>RDG!G17</f>
        <v>134</v>
      </c>
      <c r="G135" s="4">
        <f>IF(RDG!H17=0,"",RDG!H17)</f>
      </c>
      <c r="H135" s="30">
        <f t="shared" si="6"/>
        <v>1808662.3199999998</v>
      </c>
      <c r="I135" s="4">
        <f t="shared" si="7"/>
        <v>0</v>
      </c>
      <c r="J135" s="31">
        <f>RDG!I17</f>
        <v>486716</v>
      </c>
      <c r="K135" s="31">
        <f>RDG!J17</f>
        <v>431516</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2236811.04</v>
      </c>
      <c r="I137" s="4">
        <f t="shared" si="7"/>
        <v>0</v>
      </c>
      <c r="J137" s="31">
        <f>RDG!I19</f>
        <v>632264</v>
      </c>
      <c r="K137" s="31">
        <f>RDG!J19</f>
        <v>506225</v>
      </c>
    </row>
    <row r="138" spans="4:11" ht="12.75">
      <c r="D138" s="4" t="s">
        <v>541</v>
      </c>
      <c r="E138" s="4">
        <v>2</v>
      </c>
      <c r="F138" s="4">
        <f>RDG!G20</f>
        <v>137</v>
      </c>
      <c r="G138" s="4">
        <f>IF(RDG!H20=0,"",RDG!H20)</f>
      </c>
      <c r="H138" s="30">
        <f t="shared" si="6"/>
        <v>5474911.82</v>
      </c>
      <c r="I138" s="4">
        <f t="shared" si="7"/>
        <v>0</v>
      </c>
      <c r="J138" s="31">
        <f>RDG!I20</f>
        <v>1278674</v>
      </c>
      <c r="K138" s="31">
        <f>RDG!J20</f>
        <v>1358806</v>
      </c>
    </row>
    <row r="139" spans="4:11" ht="12.75">
      <c r="D139" s="4" t="s">
        <v>541</v>
      </c>
      <c r="E139" s="4">
        <v>2</v>
      </c>
      <c r="F139" s="4">
        <f>RDG!G21</f>
        <v>138</v>
      </c>
      <c r="G139" s="4">
        <f>IF(RDG!H21=0,"",RDG!H21)</f>
      </c>
      <c r="H139" s="30">
        <f t="shared" si="6"/>
        <v>3789950.58</v>
      </c>
      <c r="I139" s="4">
        <f t="shared" si="7"/>
        <v>0</v>
      </c>
      <c r="J139" s="31">
        <f>RDG!I21</f>
        <v>860253</v>
      </c>
      <c r="K139" s="31">
        <f>RDG!J21</f>
        <v>943044</v>
      </c>
    </row>
    <row r="140" spans="4:11" ht="12.75">
      <c r="D140" s="4" t="s">
        <v>541</v>
      </c>
      <c r="E140" s="4">
        <v>2</v>
      </c>
      <c r="F140" s="4">
        <f>RDG!G22</f>
        <v>139</v>
      </c>
      <c r="G140" s="4">
        <f>IF(RDG!H22=0,"",RDG!H22)</f>
      </c>
      <c r="H140" s="30">
        <f t="shared" si="6"/>
        <v>1029738.41</v>
      </c>
      <c r="I140" s="4">
        <f t="shared" si="7"/>
        <v>0</v>
      </c>
      <c r="J140" s="31">
        <f>RDG!I22</f>
        <v>260061</v>
      </c>
      <c r="K140" s="31">
        <f>RDG!J22</f>
        <v>240379</v>
      </c>
    </row>
    <row r="141" spans="4:11" ht="12.75">
      <c r="D141" s="4" t="s">
        <v>541</v>
      </c>
      <c r="E141" s="4">
        <v>2</v>
      </c>
      <c r="F141" s="4">
        <f>RDG!G23</f>
        <v>140</v>
      </c>
      <c r="G141" s="4">
        <f>IF(RDG!H23=0,"",RDG!H23)</f>
      </c>
      <c r="H141" s="30">
        <f t="shared" si="6"/>
        <v>712776.3999999999</v>
      </c>
      <c r="I141" s="4">
        <f t="shared" si="7"/>
        <v>0</v>
      </c>
      <c r="J141" s="31">
        <f>RDG!I23</f>
        <v>158360</v>
      </c>
      <c r="K141" s="31">
        <f>RDG!J23</f>
        <v>175383</v>
      </c>
    </row>
    <row r="142" spans="4:11" ht="12.75">
      <c r="D142" s="4" t="s">
        <v>541</v>
      </c>
      <c r="E142" s="4">
        <v>2</v>
      </c>
      <c r="F142" s="4">
        <f>RDG!G24</f>
        <v>141</v>
      </c>
      <c r="G142" s="4">
        <f>IF(RDG!H24=0,"",RDG!H24)</f>
      </c>
      <c r="H142" s="30">
        <f t="shared" si="6"/>
        <v>1353332.1</v>
      </c>
      <c r="I142" s="4">
        <f t="shared" si="7"/>
        <v>0</v>
      </c>
      <c r="J142" s="31">
        <f>RDG!I24</f>
        <v>359682</v>
      </c>
      <c r="K142" s="31">
        <f>RDG!J24</f>
        <v>300064</v>
      </c>
    </row>
    <row r="143" spans="4:11" ht="12.75">
      <c r="D143" s="4" t="s">
        <v>541</v>
      </c>
      <c r="E143" s="4">
        <v>2</v>
      </c>
      <c r="F143" s="4">
        <f>RDG!G25</f>
        <v>142</v>
      </c>
      <c r="G143" s="4">
        <f>IF(RDG!H25=0,"",RDG!H25)</f>
      </c>
      <c r="H143" s="30">
        <f t="shared" si="6"/>
        <v>832757.5800000001</v>
      </c>
      <c r="I143" s="4">
        <f t="shared" si="7"/>
        <v>0</v>
      </c>
      <c r="J143" s="31">
        <f>RDG!I25</f>
        <v>194845</v>
      </c>
      <c r="K143" s="31">
        <f>RDG!J25</f>
        <v>195802</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1352913.1</v>
      </c>
      <c r="I155" s="4">
        <f t="shared" si="7"/>
        <v>0</v>
      </c>
      <c r="J155" s="31">
        <f>RDG!I37</f>
        <v>567831</v>
      </c>
      <c r="K155" s="31">
        <f>RDG!J37</f>
        <v>155342</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4272.9400000000005</v>
      </c>
      <c r="I162" s="4">
        <f t="shared" si="7"/>
        <v>0</v>
      </c>
      <c r="J162" s="31">
        <f>RDG!I44</f>
        <v>1632</v>
      </c>
      <c r="K162" s="31">
        <f>RDG!J44</f>
        <v>511</v>
      </c>
    </row>
    <row r="163" spans="4:11" ht="12.75">
      <c r="D163" s="4" t="s">
        <v>541</v>
      </c>
      <c r="E163" s="4">
        <v>2</v>
      </c>
      <c r="F163" s="4">
        <f>RDG!G45</f>
        <v>162</v>
      </c>
      <c r="G163" s="4">
        <f>IF(RDG!H45=0,"",RDG!H45)</f>
      </c>
      <c r="H163" s="30">
        <f t="shared" si="6"/>
        <v>8274.96</v>
      </c>
      <c r="I163" s="4">
        <f t="shared" si="7"/>
        <v>0</v>
      </c>
      <c r="J163" s="31">
        <f>RDG!I45</f>
        <v>0</v>
      </c>
      <c r="K163" s="31">
        <f>RDG!J45</f>
        <v>2554</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1428034.92</v>
      </c>
      <c r="I165" s="4">
        <f t="shared" si="7"/>
        <v>0</v>
      </c>
      <c r="J165" s="31">
        <f>RDG!I47</f>
        <v>566199</v>
      </c>
      <c r="K165" s="31">
        <f>RDG!J47</f>
        <v>152277</v>
      </c>
    </row>
    <row r="166" spans="4:11" ht="12.75">
      <c r="D166" s="4" t="s">
        <v>541</v>
      </c>
      <c r="E166" s="4">
        <v>2</v>
      </c>
      <c r="F166" s="4">
        <f>RDG!G48</f>
        <v>165</v>
      </c>
      <c r="G166" s="4">
        <f>IF(RDG!H48=0,"",RDG!H48)</f>
      </c>
      <c r="H166" s="30">
        <f t="shared" si="6"/>
        <v>137134.8</v>
      </c>
      <c r="I166" s="4">
        <f t="shared" si="7"/>
        <v>0</v>
      </c>
      <c r="J166" s="31">
        <f>RDG!I48</f>
        <v>0</v>
      </c>
      <c r="K166" s="31">
        <f>RDG!J48</f>
        <v>41556</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0</v>
      </c>
      <c r="I169" s="4">
        <f t="shared" si="7"/>
        <v>0</v>
      </c>
      <c r="J169" s="31">
        <f>RDG!I51</f>
        <v>0</v>
      </c>
      <c r="K169" s="31">
        <f>RDG!J51</f>
        <v>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142952.64</v>
      </c>
      <c r="I173" s="4">
        <f t="shared" si="7"/>
        <v>0</v>
      </c>
      <c r="J173" s="31">
        <f>RDG!I55</f>
        <v>0</v>
      </c>
      <c r="K173" s="31">
        <f>RDG!J55</f>
        <v>41556</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15936961.41</v>
      </c>
      <c r="I178" s="4">
        <f t="shared" si="7"/>
        <v>0</v>
      </c>
      <c r="J178" s="31">
        <f>RDG!I60</f>
        <v>3541947</v>
      </c>
      <c r="K178" s="31">
        <f>RDG!J60</f>
        <v>2730993</v>
      </c>
    </row>
    <row r="179" spans="4:11" ht="12.75">
      <c r="D179" s="4" t="s">
        <v>541</v>
      </c>
      <c r="E179" s="4">
        <v>2</v>
      </c>
      <c r="F179" s="4">
        <f>RDG!G61</f>
        <v>178</v>
      </c>
      <c r="G179" s="4">
        <f>IF(RDG!H61=0,"",RDG!H61)</f>
      </c>
      <c r="H179" s="30">
        <f t="shared" si="6"/>
        <v>15343811.82</v>
      </c>
      <c r="I179" s="4">
        <f t="shared" si="7"/>
        <v>0</v>
      </c>
      <c r="J179" s="31">
        <f>RDG!I61</f>
        <v>2952181</v>
      </c>
      <c r="K179" s="31">
        <f>RDG!J61</f>
        <v>2833969</v>
      </c>
    </row>
    <row r="180" spans="4:11" ht="12.75">
      <c r="D180" s="4" t="s">
        <v>541</v>
      </c>
      <c r="E180" s="4">
        <v>2</v>
      </c>
      <c r="F180" s="4">
        <f>RDG!G62</f>
        <v>179</v>
      </c>
      <c r="G180" s="4">
        <f>IF(RDG!H62=0,"",RDG!H62)</f>
      </c>
      <c r="H180" s="30">
        <f t="shared" si="6"/>
        <v>687027.0599999998</v>
      </c>
      <c r="I180" s="4">
        <f t="shared" si="7"/>
        <v>0</v>
      </c>
      <c r="J180" s="31">
        <f>RDG!I62</f>
        <v>589766</v>
      </c>
      <c r="K180" s="31">
        <f>RDG!J62</f>
        <v>-102976</v>
      </c>
    </row>
    <row r="181" spans="4:11" ht="12.75">
      <c r="D181" s="4" t="s">
        <v>541</v>
      </c>
      <c r="E181" s="4">
        <v>2</v>
      </c>
      <c r="F181" s="4">
        <f>RDG!G63</f>
        <v>180</v>
      </c>
      <c r="G181" s="4">
        <f>IF(RDG!H63=0,"",RDG!H63)</f>
      </c>
      <c r="H181" s="30">
        <f t="shared" si="6"/>
        <v>1061578.8</v>
      </c>
      <c r="I181" s="4">
        <f t="shared" si="7"/>
        <v>0</v>
      </c>
      <c r="J181" s="31">
        <f>RDG!I63</f>
        <v>589766</v>
      </c>
      <c r="K181" s="31">
        <f>RDG!J63</f>
        <v>0</v>
      </c>
    </row>
    <row r="182" spans="4:11" ht="12.75">
      <c r="D182" s="4" t="s">
        <v>541</v>
      </c>
      <c r="E182" s="4">
        <v>2</v>
      </c>
      <c r="F182" s="4">
        <f>RDG!G64</f>
        <v>181</v>
      </c>
      <c r="G182" s="4">
        <f>IF(RDG!H64=0,"",RDG!H64)</f>
      </c>
      <c r="H182" s="30">
        <f t="shared" si="6"/>
        <v>372773.12</v>
      </c>
      <c r="I182" s="4">
        <f t="shared" si="7"/>
        <v>0</v>
      </c>
      <c r="J182" s="31">
        <f>RDG!I64</f>
        <v>0</v>
      </c>
      <c r="K182" s="31">
        <f>RDG!J64</f>
        <v>102976</v>
      </c>
    </row>
    <row r="183" spans="4:11" ht="12.75">
      <c r="D183" s="4" t="s">
        <v>541</v>
      </c>
      <c r="E183" s="4">
        <v>2</v>
      </c>
      <c r="F183" s="4">
        <f>RDG!G65</f>
        <v>182</v>
      </c>
      <c r="G183" s="4">
        <f>IF(RDG!H65=0,"",RDG!H65)</f>
      </c>
      <c r="H183" s="30">
        <f t="shared" si="6"/>
        <v>197160.6</v>
      </c>
      <c r="I183" s="4">
        <f t="shared" si="7"/>
        <v>0</v>
      </c>
      <c r="J183" s="31">
        <f>RDG!I65</f>
        <v>108330</v>
      </c>
      <c r="K183" s="31">
        <f>RDG!J65</f>
        <v>0</v>
      </c>
    </row>
    <row r="184" spans="4:11" ht="12.75">
      <c r="D184" s="4" t="s">
        <v>541</v>
      </c>
      <c r="E184" s="4">
        <v>2</v>
      </c>
      <c r="F184" s="4">
        <f>RDG!G66</f>
        <v>183</v>
      </c>
      <c r="G184" s="4">
        <f>IF(RDG!H66=0,"",RDG!H66)</f>
      </c>
      <c r="H184" s="30">
        <f t="shared" si="6"/>
        <v>504135.7199999999</v>
      </c>
      <c r="I184" s="4">
        <f t="shared" si="7"/>
        <v>0</v>
      </c>
      <c r="J184" s="31">
        <f>RDG!I66</f>
        <v>481436</v>
      </c>
      <c r="K184" s="31">
        <f>RDG!J66</f>
        <v>-102976</v>
      </c>
    </row>
    <row r="185" spans="4:11" ht="12.75">
      <c r="D185" s="4" t="s">
        <v>541</v>
      </c>
      <c r="E185" s="4">
        <v>2</v>
      </c>
      <c r="F185" s="4">
        <f>RDG!G67</f>
        <v>184</v>
      </c>
      <c r="G185" s="4">
        <f>IF(RDG!H67=0,"",RDG!H67)</f>
      </c>
      <c r="H185" s="30">
        <f t="shared" si="6"/>
        <v>885842.24</v>
      </c>
      <c r="I185" s="4">
        <f t="shared" si="7"/>
        <v>0</v>
      </c>
      <c r="J185" s="31">
        <f>RDG!I67</f>
        <v>481436</v>
      </c>
      <c r="K185" s="31">
        <f>RDG!J67</f>
        <v>0</v>
      </c>
    </row>
    <row r="186" spans="4:11" ht="12.75">
      <c r="D186" s="4" t="s">
        <v>541</v>
      </c>
      <c r="E186" s="4">
        <v>2</v>
      </c>
      <c r="F186" s="4">
        <f>RDG!G68</f>
        <v>185</v>
      </c>
      <c r="G186" s="4">
        <f>IF(RDG!H68=0,"",RDG!H68)</f>
      </c>
      <c r="H186" s="30">
        <f t="shared" si="6"/>
        <v>381011.2</v>
      </c>
      <c r="I186" s="4">
        <f t="shared" si="7"/>
        <v>0</v>
      </c>
      <c r="J186" s="31">
        <f>RDG!I68</f>
        <v>0</v>
      </c>
      <c r="K186" s="31">
        <f>RDG!J68</f>
        <v>102976</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18850969.759999998</v>
      </c>
      <c r="I233" s="4">
        <f t="shared" si="11"/>
        <v>0</v>
      </c>
      <c r="J233" s="31">
        <f>Dodatni!I26</f>
        <v>2974116</v>
      </c>
      <c r="K233" s="31">
        <f>Dodatni!J26</f>
        <v>2575651</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19663511.56</v>
      </c>
      <c r="I243" s="4">
        <f t="shared" si="11"/>
        <v>0</v>
      </c>
      <c r="J243" s="31">
        <f>Dodatni!I37</f>
        <v>2974116</v>
      </c>
      <c r="K243" s="31">
        <f>Dodatni!J37</f>
        <v>2575651</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742049.2799999999</v>
      </c>
      <c r="I253" s="4">
        <f t="shared" si="11"/>
        <v>0</v>
      </c>
      <c r="J253" s="31">
        <f>Dodatni!I50</f>
        <v>0</v>
      </c>
      <c r="K253" s="31">
        <f>Dodatni!J50</f>
        <v>147232</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2800.28</v>
      </c>
      <c r="I275" s="4">
        <f aca="true" t="shared" si="13" ref="I275:I284">ABS(ROUND(J275,0)-J275)+ABS(ROUND(K275,0)-K275)</f>
        <v>0</v>
      </c>
      <c r="J275" s="31">
        <f>Dodatni!I73</f>
        <v>0</v>
      </c>
      <c r="K275" s="31">
        <f>Dodatni!J73</f>
        <v>511</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21"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GRAČAC ČISTOĆA d.o.o.</v>
      </c>
      <c r="X2" s="209" t="s">
        <v>207</v>
      </c>
      <c r="Y2" s="231">
        <f>IF(RefStr!C54&lt;&gt;"",RefStr!C54,"")</f>
        <v>100</v>
      </c>
      <c r="Z2" s="209" t="s">
        <v>2326</v>
      </c>
      <c r="AA2" s="231" t="str">
        <f>IF(RefStr!B64="","",RefStr!B64)</f>
        <v>97776963</v>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23440</v>
      </c>
      <c r="X3" s="211" t="s">
        <v>208</v>
      </c>
      <c r="Y3" s="232">
        <f>IF(RefStr!F54&lt;&gt;"",RefStr!F54,"")</f>
        <v>0</v>
      </c>
      <c r="Z3" s="211" t="s">
        <v>2327</v>
      </c>
      <c r="AA3" s="232" t="str">
        <f>IF(RefStr!B66="","",RefStr!B66)</f>
        <v>Gracija, obrt za knjig.usluge</v>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11250206587</v>
      </c>
      <c r="V4" s="211" t="s">
        <v>2356</v>
      </c>
      <c r="W4" s="232" t="str">
        <f>RefStr!F31</f>
        <v>Gračac</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04090128</v>
      </c>
      <c r="V5" s="211" t="s">
        <v>2357</v>
      </c>
      <c r="W5" s="232" t="str">
        <f>RefStr!C33</f>
        <v>Park Sv.Jurja 1</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110039600</v>
      </c>
      <c r="V6" s="211" t="s">
        <v>2568</v>
      </c>
      <c r="W6" s="232" t="str">
        <f>RefStr!L35</f>
        <v>023/773 925</v>
      </c>
      <c r="X6" s="211" t="s">
        <v>2514</v>
      </c>
      <c r="Y6" s="232" t="str">
        <f>RefStr!C68</f>
        <v>Gracijela Stura</v>
      </c>
      <c r="Z6" s="211" t="s">
        <v>1415</v>
      </c>
      <c r="AA6" s="232">
        <f>RefStr!C46</f>
        <v>0</v>
      </c>
    </row>
    <row r="7" spans="1:27" ht="13.5" customHeight="1">
      <c r="A7" s="499"/>
      <c r="B7" s="500"/>
      <c r="C7" s="500"/>
      <c r="D7" s="500"/>
      <c r="E7" s="500"/>
      <c r="F7" s="500"/>
      <c r="G7" s="500"/>
      <c r="H7" s="500"/>
      <c r="I7" s="222" t="s">
        <v>16</v>
      </c>
      <c r="J7" s="224">
        <f>SUM(M12:M120)</f>
        <v>3</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CISTOCA@GRACAC.HR</v>
      </c>
      <c r="X7" s="211" t="s">
        <v>2515</v>
      </c>
      <c r="Y7" s="232" t="str">
        <f>RefStr!C70</f>
        <v>023/ 644 298</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3811</v>
      </c>
      <c r="X8" s="211" t="s">
        <v>2516</v>
      </c>
      <c r="Y8" s="232" t="str">
        <f>TRIM(UPPER(RefStr!C72))</f>
        <v>GRACIJA.STURA@GMAIL.COM</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17</v>
      </c>
      <c r="Q9" s="231">
        <f>RefStr!F58</f>
        <v>17</v>
      </c>
      <c r="R9" s="211" t="s">
        <v>1860</v>
      </c>
      <c r="S9" s="232">
        <f>IF(RefStr!F4&lt;&gt;"",RefStr!F4,0)</f>
        <v>44196</v>
      </c>
      <c r="T9" s="211" t="s">
        <v>1821</v>
      </c>
      <c r="U9" s="232">
        <f>RefStr!C39</f>
        <v>131</v>
      </c>
      <c r="V9" s="211" t="s">
        <v>1414</v>
      </c>
      <c r="W9" s="232" t="str">
        <f>RefStr!D42</f>
        <v>Skupljanje neopasnog otpada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18</v>
      </c>
      <c r="Q10" s="233">
        <f>RefStr!F56</f>
        <v>18</v>
      </c>
      <c r="R10" s="213" t="s">
        <v>1863</v>
      </c>
      <c r="S10" s="233">
        <f>RefStr!C23</f>
        <v>1</v>
      </c>
      <c r="T10" s="213" t="s">
        <v>2573</v>
      </c>
      <c r="U10" s="233" t="str">
        <f>RefStr!D39</f>
        <v>Gračac</v>
      </c>
      <c r="V10" s="240"/>
      <c r="W10" s="241"/>
      <c r="X10" s="242" t="s">
        <v>1974</v>
      </c>
      <c r="Y10" s="243">
        <f>RefStr!F12</f>
        <v>2020</v>
      </c>
      <c r="Z10" s="213" t="s">
        <v>209</v>
      </c>
      <c r="AA10" s="233" t="str">
        <f>RefStr!A75</f>
        <v>Marko Gale</v>
      </c>
    </row>
    <row r="11" spans="1:25" ht="13.5" customHeight="1">
      <c r="A11" s="511" t="s">
        <v>642</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4" t="s">
        <v>516</v>
      </c>
      <c r="B42" s="515"/>
      <c r="C42" s="515"/>
      <c r="D42" s="515"/>
      <c r="E42" s="515"/>
      <c r="F42" s="515"/>
      <c r="G42" s="515"/>
      <c r="H42" s="515"/>
      <c r="I42" s="515"/>
      <c r="J42" s="516"/>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6"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3" t="s">
        <v>114</v>
      </c>
      <c r="B73" s="494"/>
      <c r="C73" s="494"/>
      <c r="D73" s="494"/>
      <c r="E73" s="494"/>
      <c r="F73" s="494"/>
      <c r="G73" s="494"/>
      <c r="H73" s="494"/>
      <c r="I73" s="494"/>
      <c r="J73" s="495"/>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Provjera</v>
      </c>
      <c r="C91" s="487" t="s">
        <v>2534</v>
      </c>
      <c r="D91" s="487"/>
      <c r="E91" s="487"/>
      <c r="F91" s="487"/>
      <c r="G91" s="487"/>
      <c r="H91" s="487"/>
      <c r="I91" s="487"/>
      <c r="J91" s="487"/>
      <c r="L91" s="195">
        <v>0</v>
      </c>
      <c r="M91" s="195">
        <f>MAX(N91:O91)</f>
        <v>1</v>
      </c>
      <c r="N91" s="195">
        <f>IF(AND(P4&gt;0,O8&lt;&gt;"DA",Dodatni!I50=0),1,0)</f>
        <v>1</v>
      </c>
      <c r="O91" s="195">
        <f>IF(AND(Q4&gt;0,O8&lt;&gt;"DA",Dodatni!J50=0),1,0)</f>
        <v>0</v>
      </c>
      <c r="P91" s="195"/>
    </row>
    <row r="92" spans="1:16" ht="30" customHeight="1">
      <c r="A92" s="219">
        <f>A91+1</f>
        <v>79</v>
      </c>
      <c r="B92" s="221" t="str">
        <f>IF(L92=1,"Pogreška",IF(M92=1,"Provjera","OK"))</f>
        <v>Provjera</v>
      </c>
      <c r="C92" s="487" t="s">
        <v>2535</v>
      </c>
      <c r="D92" s="487"/>
      <c r="E92" s="487"/>
      <c r="F92" s="487"/>
      <c r="G92" s="487"/>
      <c r="H92" s="487"/>
      <c r="I92" s="487"/>
      <c r="J92" s="487"/>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87" t="s">
        <v>758</v>
      </c>
      <c r="D98" s="487"/>
      <c r="E98" s="487"/>
      <c r="F98" s="487"/>
      <c r="G98" s="487"/>
      <c r="H98" s="487"/>
      <c r="I98" s="487"/>
      <c r="J98" s="487"/>
      <c r="L98" s="195">
        <v>0</v>
      </c>
      <c r="M98" s="195">
        <f t="shared" si="16"/>
        <v>1</v>
      </c>
      <c r="N98" s="195">
        <f>IF(AND($O$8&lt;&gt;"DA",P4&gt;0,Dodatni!I62=0),1,0)</f>
        <v>1</v>
      </c>
      <c r="O98" s="195">
        <f>IF(AND($O$8&lt;&gt;"DA",Q4&gt;0,Dodatni!J62=0),1,0)</f>
        <v>1</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12:J12"/>
    <mergeCell ref="C46:J46"/>
    <mergeCell ref="C63:J63"/>
    <mergeCell ref="C44:J44"/>
    <mergeCell ref="C58:J58"/>
    <mergeCell ref="A11:J11"/>
    <mergeCell ref="A9:B10"/>
    <mergeCell ref="C40:J40"/>
    <mergeCell ref="C52:J52"/>
    <mergeCell ref="C53:J53"/>
    <mergeCell ref="C43:J43"/>
    <mergeCell ref="A42:J42"/>
    <mergeCell ref="A3:H8"/>
    <mergeCell ref="I8:J8"/>
    <mergeCell ref="I3:J3"/>
    <mergeCell ref="I5:J5"/>
    <mergeCell ref="I6:J6"/>
    <mergeCell ref="C9:J10"/>
    <mergeCell ref="C109:J109"/>
    <mergeCell ref="C56:J56"/>
    <mergeCell ref="C98:J98"/>
    <mergeCell ref="C91:J91"/>
    <mergeCell ref="C92:J92"/>
    <mergeCell ref="C93:J93"/>
    <mergeCell ref="C94:J94"/>
    <mergeCell ref="C102:J102"/>
    <mergeCell ref="C105:J105"/>
    <mergeCell ref="C59:J59"/>
    <mergeCell ref="C101:J101"/>
    <mergeCell ref="C100:J100"/>
    <mergeCell ref="C80:J80"/>
    <mergeCell ref="C78:J78"/>
    <mergeCell ref="C77:J77"/>
    <mergeCell ref="C66:J66"/>
    <mergeCell ref="C68:J68"/>
    <mergeCell ref="C70:J70"/>
    <mergeCell ref="C67:J67"/>
    <mergeCell ref="C69:J69"/>
    <mergeCell ref="A73:J73"/>
    <mergeCell ref="C47:J47"/>
    <mergeCell ref="C104:J104"/>
    <mergeCell ref="C103:J103"/>
    <mergeCell ref="C76:J76"/>
    <mergeCell ref="C90:J90"/>
    <mergeCell ref="C89:J89"/>
    <mergeCell ref="C75:J75"/>
    <mergeCell ref="C57:J57"/>
    <mergeCell ref="C74:J74"/>
    <mergeCell ref="C48:J48"/>
    <mergeCell ref="C54:J54"/>
    <mergeCell ref="C55:J55"/>
    <mergeCell ref="C60:J60"/>
    <mergeCell ref="C61:J61"/>
    <mergeCell ref="C62:J62"/>
    <mergeCell ref="C71:J71"/>
    <mergeCell ref="C97:J97"/>
    <mergeCell ref="C84:J84"/>
    <mergeCell ref="C45:J45"/>
    <mergeCell ref="C50:J50"/>
    <mergeCell ref="C79:J79"/>
    <mergeCell ref="C95:J95"/>
    <mergeCell ref="C96:J96"/>
    <mergeCell ref="C49:J49"/>
    <mergeCell ref="C51:J51"/>
    <mergeCell ref="C72:J72"/>
    <mergeCell ref="C88:J88"/>
    <mergeCell ref="C82:J82"/>
    <mergeCell ref="C86:J86"/>
    <mergeCell ref="C87:J87"/>
    <mergeCell ref="C83:J83"/>
    <mergeCell ref="C85:J85"/>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36" activePane="bottomLeft" state="frozen"/>
      <selection pane="topLeft" activeCell="A1" sqref="A1"/>
      <selection pane="bottomLeft" activeCell="C59" sqref="C5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365" t="s">
        <v>1057</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2020</v>
      </c>
      <c r="G12" s="349"/>
      <c r="H12" s="341" t="s">
        <v>2105</v>
      </c>
      <c r="I12" s="342"/>
      <c r="J12" s="342"/>
      <c r="K12" s="156"/>
      <c r="L12" s="156"/>
      <c r="M12" s="156"/>
      <c r="N12" s="156"/>
      <c r="P12" s="54" t="s">
        <v>2353</v>
      </c>
      <c r="Q12" s="55">
        <f>INT(VALUE(H27))/10</f>
        <v>409012.8</v>
      </c>
    </row>
    <row r="13" spans="4:17" ht="9.75" customHeight="1">
      <c r="D13" s="156"/>
      <c r="E13" s="162"/>
      <c r="H13" s="27"/>
      <c r="I13" s="163"/>
      <c r="J13" s="163"/>
      <c r="K13" s="156"/>
      <c r="L13" s="156"/>
      <c r="M13" s="156"/>
      <c r="N13" s="156"/>
      <c r="P13" s="54" t="s">
        <v>2353</v>
      </c>
      <c r="Q13" s="55">
        <f>INT(VALUE(M27))/50</f>
        <v>2200792</v>
      </c>
    </row>
    <row r="14" spans="1:17" ht="15">
      <c r="A14" s="340" t="s">
        <v>2714</v>
      </c>
      <c r="B14" s="340"/>
      <c r="C14" s="340"/>
      <c r="D14" s="164"/>
      <c r="E14" s="165"/>
      <c r="F14" s="338"/>
      <c r="G14" s="339"/>
      <c r="H14" s="339"/>
      <c r="I14" s="156"/>
      <c r="J14" s="346" t="s">
        <v>2100</v>
      </c>
      <c r="K14" s="347"/>
      <c r="L14" s="347"/>
      <c r="M14" s="347"/>
      <c r="N14" s="347"/>
      <c r="P14" s="54" t="s">
        <v>2718</v>
      </c>
      <c r="Q14" s="55">
        <f>INT(VALUE(C27))/100</f>
        <v>112502065.87</v>
      </c>
    </row>
    <row r="15" spans="1:17" ht="19.5" customHeight="1">
      <c r="A15" s="343">
        <f>Skriveni!B59</f>
        <v>277201010.79999995</v>
      </c>
      <c r="B15" s="344"/>
      <c r="C15" s="345"/>
      <c r="D15" s="60"/>
      <c r="E15" s="60"/>
      <c r="F15" s="60"/>
      <c r="G15" s="60"/>
      <c r="H15" s="60"/>
      <c r="I15" s="60"/>
      <c r="J15" s="60"/>
      <c r="K15" s="60"/>
      <c r="L15" s="60"/>
      <c r="M15" s="60"/>
      <c r="N15" s="60"/>
      <c r="P15" s="54" t="s">
        <v>1817</v>
      </c>
      <c r="Q15" s="55">
        <f>LEN(Skriveni!B9)</f>
        <v>21</v>
      </c>
    </row>
    <row r="16" spans="4:17" ht="12.75" customHeight="1">
      <c r="D16" s="60"/>
      <c r="E16" s="60"/>
      <c r="F16" s="60"/>
      <c r="G16" s="60"/>
      <c r="H16" s="60"/>
      <c r="I16" s="60"/>
      <c r="P16" s="54" t="s">
        <v>1818</v>
      </c>
      <c r="Q16" s="55">
        <f>INT(VALUE(C31))/100</f>
        <v>234.4</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15</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131</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23440</v>
      </c>
      <c r="D31" s="329" t="s">
        <v>693</v>
      </c>
      <c r="E31" s="330"/>
      <c r="F31" s="323" t="s">
        <v>2187</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2957</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2958</v>
      </c>
      <c r="D35" s="334"/>
      <c r="E35" s="334"/>
      <c r="F35" s="334"/>
      <c r="G35" s="334"/>
      <c r="H35" s="334"/>
      <c r="I35" s="335"/>
      <c r="J35" s="275" t="s">
        <v>188</v>
      </c>
      <c r="K35" s="278"/>
      <c r="L35" s="284" t="s">
        <v>2959</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131</v>
      </c>
      <c r="D39" s="326" t="str">
        <f>IF(C39="","Šifra grada/općine nije upisana",IF(ISNA(LOOKUP(C39,A177:A732,A177:A732)),"Šifra grada/općine ne postoji",IF(LOOKUP(C39,A177:A732,A177:A732)&lt;&gt;C39,"Šifra grada/općine ne postoji",LOOKUP(C39,A177:A732,B177:B732))))</f>
        <v>Gračac</v>
      </c>
      <c r="E39" s="327"/>
      <c r="F39" s="327"/>
      <c r="G39" s="327"/>
      <c r="H39" s="314" t="s">
        <v>2222</v>
      </c>
      <c r="I39" s="292"/>
      <c r="J39" s="58">
        <f>IF(C39&gt;0,LOOKUP(C39,A177:A732,C177:C732),"")</f>
        <v>13</v>
      </c>
      <c r="K39" s="315" t="str">
        <f>IF(J39="","Treba prvo upisati šifru grada/općine",LOOKUP(J39,A153:A173,B153:B173))</f>
        <v>ZADARSKA</v>
      </c>
      <c r="L39" s="315"/>
      <c r="M39" s="315"/>
      <c r="N39" s="315"/>
      <c r="P39" s="54" t="s">
        <v>1826</v>
      </c>
      <c r="Q39" s="55">
        <f>C56+2*F56+3*C58+4*F58</f>
        <v>173</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10</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18</v>
      </c>
      <c r="D56" s="272" t="s">
        <v>2898</v>
      </c>
      <c r="E56" s="273"/>
      <c r="F56" s="44">
        <v>18</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17</v>
      </c>
      <c r="D58" s="309" t="s">
        <v>2898</v>
      </c>
      <c r="E58" s="309"/>
      <c r="F58" s="44">
        <v>17</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t="s">
        <v>2960</v>
      </c>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t="s">
        <v>2961</v>
      </c>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2963</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2964</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2965</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04" activePane="bottomLeft" state="frozen"/>
      <selection pane="topLeft" activeCell="A1" sqref="A1"/>
      <selection pane="bottomLeft" activeCell="J128" sqref="J12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11250206587; GRAČAC ČISTOĆA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764721</v>
      </c>
      <c r="J10" s="70">
        <f>J11+J18+J28+J39+J44</f>
        <v>628961</v>
      </c>
    </row>
    <row r="11" spans="1:10" ht="13.5" customHeight="1">
      <c r="A11" s="382" t="s">
        <v>1850</v>
      </c>
      <c r="B11" s="382"/>
      <c r="C11" s="382"/>
      <c r="D11" s="382"/>
      <c r="E11" s="382"/>
      <c r="F11" s="382"/>
      <c r="G11" s="19">
        <v>3</v>
      </c>
      <c r="H11" s="20"/>
      <c r="I11" s="70">
        <f>SUM(I12:I17)</f>
        <v>60448</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v>60448</v>
      </c>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704273</v>
      </c>
      <c r="J18" s="70">
        <f>SUM(J19:J27)</f>
        <v>628961</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c r="J20" s="71"/>
    </row>
    <row r="21" spans="1:10" ht="13.5" customHeight="1">
      <c r="A21" s="381" t="s">
        <v>2177</v>
      </c>
      <c r="B21" s="381"/>
      <c r="C21" s="381"/>
      <c r="D21" s="381"/>
      <c r="E21" s="381"/>
      <c r="F21" s="381"/>
      <c r="G21" s="19">
        <v>13</v>
      </c>
      <c r="H21" s="20"/>
      <c r="I21" s="71"/>
      <c r="J21" s="71"/>
    </row>
    <row r="22" spans="1:10" ht="13.5" customHeight="1">
      <c r="A22" s="381" t="s">
        <v>2290</v>
      </c>
      <c r="B22" s="381"/>
      <c r="C22" s="381"/>
      <c r="D22" s="381"/>
      <c r="E22" s="381"/>
      <c r="F22" s="381"/>
      <c r="G22" s="19">
        <v>14</v>
      </c>
      <c r="H22" s="20"/>
      <c r="I22" s="71">
        <v>704273</v>
      </c>
      <c r="J22" s="71">
        <v>628961</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1402279</v>
      </c>
      <c r="J45" s="70">
        <f>J46+J54+J61+J71</f>
        <v>1345258</v>
      </c>
    </row>
    <row r="46" spans="1:10" ht="13.5" customHeight="1">
      <c r="A46" s="382" t="s">
        <v>2647</v>
      </c>
      <c r="B46" s="382"/>
      <c r="C46" s="382"/>
      <c r="D46" s="382"/>
      <c r="E46" s="382"/>
      <c r="F46" s="382"/>
      <c r="G46" s="19">
        <v>38</v>
      </c>
      <c r="H46" s="20"/>
      <c r="I46" s="70">
        <f>SUM(I47:I53)</f>
        <v>64889</v>
      </c>
      <c r="J46" s="70">
        <f>SUM(J47:J53)</f>
        <v>54106</v>
      </c>
    </row>
    <row r="47" spans="1:10" ht="13.5" customHeight="1">
      <c r="A47" s="381" t="s">
        <v>970</v>
      </c>
      <c r="B47" s="381"/>
      <c r="C47" s="381"/>
      <c r="D47" s="381"/>
      <c r="E47" s="381"/>
      <c r="F47" s="381"/>
      <c r="G47" s="19">
        <v>39</v>
      </c>
      <c r="H47" s="20"/>
      <c r="I47" s="71">
        <v>64889</v>
      </c>
      <c r="J47" s="71">
        <v>54106</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1207866</v>
      </c>
      <c r="J54" s="70">
        <f>SUM(J55:J60)</f>
        <v>1038480</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1192514</v>
      </c>
      <c r="J57" s="71">
        <v>999925</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15352</v>
      </c>
      <c r="J59" s="71">
        <v>38555</v>
      </c>
    </row>
    <row r="60" spans="1:10" ht="13.5" customHeight="1">
      <c r="A60" s="381" t="s">
        <v>2638</v>
      </c>
      <c r="B60" s="381"/>
      <c r="C60" s="381"/>
      <c r="D60" s="381"/>
      <c r="E60" s="381"/>
      <c r="F60" s="381"/>
      <c r="G60" s="19">
        <v>52</v>
      </c>
      <c r="H60" s="20"/>
      <c r="I60" s="71"/>
      <c r="J60" s="71"/>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129524</v>
      </c>
      <c r="J71" s="71">
        <v>252672</v>
      </c>
    </row>
    <row r="72" spans="1:10" ht="24.75" customHeight="1">
      <c r="A72" s="383" t="s">
        <v>1558</v>
      </c>
      <c r="B72" s="383"/>
      <c r="C72" s="383"/>
      <c r="D72" s="383"/>
      <c r="E72" s="383"/>
      <c r="F72" s="383"/>
      <c r="G72" s="19">
        <v>64</v>
      </c>
      <c r="H72" s="20"/>
      <c r="I72" s="71"/>
      <c r="J72" s="71"/>
    </row>
    <row r="73" spans="1:10" ht="13.5" customHeight="1">
      <c r="A73" s="383" t="s">
        <v>2650</v>
      </c>
      <c r="B73" s="383"/>
      <c r="C73" s="383"/>
      <c r="D73" s="383"/>
      <c r="E73" s="383"/>
      <c r="F73" s="383"/>
      <c r="G73" s="19">
        <v>65</v>
      </c>
      <c r="H73" s="20"/>
      <c r="I73" s="70">
        <f>I9+I10+I45+I72</f>
        <v>2167000</v>
      </c>
      <c r="J73" s="70">
        <f>J9+J10+J45+J72</f>
        <v>1974219</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1782418</v>
      </c>
      <c r="J76" s="70">
        <f>J77+J78+J79+J85+J86+J90+J93+J96</f>
        <v>1679442</v>
      </c>
      <c r="L76" s="2" t="s">
        <v>2591</v>
      </c>
    </row>
    <row r="77" spans="1:10" ht="13.5" customHeight="1">
      <c r="A77" s="382" t="s">
        <v>935</v>
      </c>
      <c r="B77" s="382"/>
      <c r="C77" s="382"/>
      <c r="D77" s="382"/>
      <c r="E77" s="382"/>
      <c r="F77" s="382"/>
      <c r="G77" s="19">
        <v>68</v>
      </c>
      <c r="H77" s="20"/>
      <c r="I77" s="71">
        <v>20000</v>
      </c>
      <c r="J77" s="71">
        <v>20000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1280982</v>
      </c>
      <c r="J90" s="70">
        <f>J91-J92</f>
        <v>1762418</v>
      </c>
      <c r="L90" s="2" t="s">
        <v>2591</v>
      </c>
    </row>
    <row r="91" spans="1:10" ht="13.5" customHeight="1">
      <c r="A91" s="381" t="s">
        <v>1139</v>
      </c>
      <c r="B91" s="381"/>
      <c r="C91" s="381"/>
      <c r="D91" s="381"/>
      <c r="E91" s="381"/>
      <c r="F91" s="381"/>
      <c r="G91" s="19">
        <v>82</v>
      </c>
      <c r="H91" s="20"/>
      <c r="I91" s="71">
        <v>1280982</v>
      </c>
      <c r="J91" s="71">
        <v>1762418</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481436</v>
      </c>
      <c r="J93" s="70">
        <f>J94-J95</f>
        <v>-102976</v>
      </c>
      <c r="L93" s="2" t="s">
        <v>2591</v>
      </c>
    </row>
    <row r="94" spans="1:10" ht="13.5" customHeight="1">
      <c r="A94" s="381" t="s">
        <v>2640</v>
      </c>
      <c r="B94" s="381"/>
      <c r="C94" s="381"/>
      <c r="D94" s="381"/>
      <c r="E94" s="381"/>
      <c r="F94" s="381"/>
      <c r="G94" s="19">
        <v>85</v>
      </c>
      <c r="H94" s="20"/>
      <c r="I94" s="71">
        <v>481436</v>
      </c>
      <c r="J94" s="71"/>
    </row>
    <row r="95" spans="1:10" ht="13.5" customHeight="1">
      <c r="A95" s="381" t="s">
        <v>1141</v>
      </c>
      <c r="B95" s="381"/>
      <c r="C95" s="381"/>
      <c r="D95" s="381"/>
      <c r="E95" s="381"/>
      <c r="F95" s="381"/>
      <c r="G95" s="19">
        <v>86</v>
      </c>
      <c r="H95" s="20"/>
      <c r="I95" s="71"/>
      <c r="J95" s="71">
        <v>102976</v>
      </c>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384582</v>
      </c>
      <c r="J116" s="70">
        <f>SUM(J117:J130)</f>
        <v>294777</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72089</v>
      </c>
      <c r="J124" s="71">
        <v>111904</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100011</v>
      </c>
      <c r="J126" s="71">
        <v>91056</v>
      </c>
    </row>
    <row r="127" spans="1:10" ht="13.5" customHeight="1">
      <c r="A127" s="381" t="s">
        <v>364</v>
      </c>
      <c r="B127" s="381"/>
      <c r="C127" s="381"/>
      <c r="D127" s="381"/>
      <c r="E127" s="381"/>
      <c r="F127" s="381"/>
      <c r="G127" s="19">
        <v>118</v>
      </c>
      <c r="H127" s="20"/>
      <c r="I127" s="71">
        <v>212482</v>
      </c>
      <c r="J127" s="71">
        <v>91817</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c r="J130" s="71"/>
    </row>
    <row r="131" spans="1:10" ht="24.75" customHeight="1">
      <c r="A131" s="383" t="s">
        <v>1560</v>
      </c>
      <c r="B131" s="383"/>
      <c r="C131" s="383"/>
      <c r="D131" s="383"/>
      <c r="E131" s="383"/>
      <c r="F131" s="383"/>
      <c r="G131" s="19">
        <v>122</v>
      </c>
      <c r="H131" s="20"/>
      <c r="I131" s="71"/>
      <c r="J131" s="71"/>
    </row>
    <row r="132" spans="1:10" ht="13.5" customHeight="1">
      <c r="A132" s="383" t="s">
        <v>2657</v>
      </c>
      <c r="B132" s="383"/>
      <c r="C132" s="383"/>
      <c r="D132" s="383"/>
      <c r="E132" s="383"/>
      <c r="F132" s="383"/>
      <c r="G132" s="19">
        <v>123</v>
      </c>
      <c r="H132" s="20"/>
      <c r="I132" s="70">
        <f>I76+I97+I104+I116+I131</f>
        <v>2167000</v>
      </c>
      <c r="J132" s="70">
        <f>J76+J97+J104+J116+J131</f>
        <v>1974219</v>
      </c>
    </row>
    <row r="133" spans="1:10" ht="13.5" customHeight="1">
      <c r="A133" s="384" t="s">
        <v>662</v>
      </c>
      <c r="B133" s="384"/>
      <c r="C133" s="384"/>
      <c r="D133" s="384"/>
      <c r="E133" s="384"/>
      <c r="F133" s="384"/>
      <c r="G133" s="21">
        <v>124</v>
      </c>
      <c r="H133" s="22"/>
      <c r="I133" s="72"/>
      <c r="J133" s="72"/>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J2:J3"/>
    <mergeCell ref="A2:I2"/>
    <mergeCell ref="A3:I3"/>
    <mergeCell ref="A69:F69"/>
    <mergeCell ref="A5:J5"/>
    <mergeCell ref="A17:F17"/>
    <mergeCell ref="A6:F6"/>
    <mergeCell ref="A7:F7"/>
    <mergeCell ref="A16:F16"/>
    <mergeCell ref="A25:F25"/>
    <mergeCell ref="A107:F107"/>
    <mergeCell ref="A102:F102"/>
    <mergeCell ref="A103:F103"/>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20:F20"/>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60" activePane="bottomLeft" state="frozen"/>
      <selection pane="topLeft" activeCell="A1" sqref="A1"/>
      <selection pane="bottomLeft" activeCell="J18" sqref="J18"/>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11250206587; GRAČAC ČISTOĆA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2974116</v>
      </c>
      <c r="J8" s="84">
        <f>SUM(J9:J13)</f>
        <v>2575651</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2974116</v>
      </c>
      <c r="J10" s="71">
        <v>2575651</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c r="J13" s="71"/>
    </row>
    <row r="14" spans="1:10" s="2" customFormat="1" ht="13.5" customHeight="1">
      <c r="A14" s="383" t="s">
        <v>1837</v>
      </c>
      <c r="B14" s="383"/>
      <c r="C14" s="383"/>
      <c r="D14" s="383"/>
      <c r="E14" s="383"/>
      <c r="F14" s="383"/>
      <c r="G14" s="19">
        <v>131</v>
      </c>
      <c r="H14" s="20"/>
      <c r="I14" s="70">
        <f>I15+I16+I20+I24+I25+I26+I29+I36</f>
        <v>2952181</v>
      </c>
      <c r="J14" s="70">
        <f>J15+J16+J20+J24+J25+J26+J29+J36</f>
        <v>2792413</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1118980</v>
      </c>
      <c r="J16" s="70">
        <f>SUM(J17:J19)</f>
        <v>937741</v>
      </c>
    </row>
    <row r="17" spans="1:10" s="2" customFormat="1" ht="13.5" customHeight="1">
      <c r="A17" s="410" t="s">
        <v>504</v>
      </c>
      <c r="B17" s="410"/>
      <c r="C17" s="410"/>
      <c r="D17" s="410"/>
      <c r="E17" s="410"/>
      <c r="F17" s="410"/>
      <c r="G17" s="19">
        <v>134</v>
      </c>
      <c r="H17" s="20"/>
      <c r="I17" s="71">
        <v>486716</v>
      </c>
      <c r="J17" s="71">
        <v>431516</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632264</v>
      </c>
      <c r="J19" s="71">
        <v>506225</v>
      </c>
    </row>
    <row r="20" spans="1:10" s="2" customFormat="1" ht="13.5" customHeight="1">
      <c r="A20" s="381" t="s">
        <v>1839</v>
      </c>
      <c r="B20" s="381"/>
      <c r="C20" s="381"/>
      <c r="D20" s="381"/>
      <c r="E20" s="381"/>
      <c r="F20" s="381"/>
      <c r="G20" s="19">
        <v>137</v>
      </c>
      <c r="H20" s="20"/>
      <c r="I20" s="70">
        <f>SUM(I21:I23)</f>
        <v>1278674</v>
      </c>
      <c r="J20" s="70">
        <f>SUM(J21:J23)</f>
        <v>1358806</v>
      </c>
    </row>
    <row r="21" spans="1:10" s="2" customFormat="1" ht="13.5" customHeight="1">
      <c r="A21" s="410" t="s">
        <v>724</v>
      </c>
      <c r="B21" s="410"/>
      <c r="C21" s="410"/>
      <c r="D21" s="410"/>
      <c r="E21" s="410"/>
      <c r="F21" s="410"/>
      <c r="G21" s="19">
        <v>138</v>
      </c>
      <c r="H21" s="20"/>
      <c r="I21" s="71">
        <v>860253</v>
      </c>
      <c r="J21" s="71">
        <v>943044</v>
      </c>
    </row>
    <row r="22" spans="1:10" s="2" customFormat="1" ht="13.5" customHeight="1">
      <c r="A22" s="410" t="s">
        <v>961</v>
      </c>
      <c r="B22" s="410"/>
      <c r="C22" s="410"/>
      <c r="D22" s="410"/>
      <c r="E22" s="410"/>
      <c r="F22" s="410"/>
      <c r="G22" s="19">
        <v>139</v>
      </c>
      <c r="H22" s="20"/>
      <c r="I22" s="71">
        <v>260061</v>
      </c>
      <c r="J22" s="71">
        <v>240379</v>
      </c>
    </row>
    <row r="23" spans="1:10" s="2" customFormat="1" ht="13.5" customHeight="1">
      <c r="A23" s="410" t="s">
        <v>962</v>
      </c>
      <c r="B23" s="410"/>
      <c r="C23" s="410"/>
      <c r="D23" s="410"/>
      <c r="E23" s="410"/>
      <c r="F23" s="410"/>
      <c r="G23" s="19">
        <v>140</v>
      </c>
      <c r="H23" s="20"/>
      <c r="I23" s="71">
        <v>158360</v>
      </c>
      <c r="J23" s="71">
        <v>175383</v>
      </c>
    </row>
    <row r="24" spans="1:10" s="2" customFormat="1" ht="13.5" customHeight="1">
      <c r="A24" s="381" t="s">
        <v>259</v>
      </c>
      <c r="B24" s="381"/>
      <c r="C24" s="381"/>
      <c r="D24" s="381"/>
      <c r="E24" s="381"/>
      <c r="F24" s="381"/>
      <c r="G24" s="19">
        <v>141</v>
      </c>
      <c r="H24" s="20"/>
      <c r="I24" s="71">
        <v>359682</v>
      </c>
      <c r="J24" s="71">
        <v>300064</v>
      </c>
    </row>
    <row r="25" spans="1:10" s="2" customFormat="1" ht="13.5" customHeight="1">
      <c r="A25" s="381" t="s">
        <v>260</v>
      </c>
      <c r="B25" s="381"/>
      <c r="C25" s="381"/>
      <c r="D25" s="381"/>
      <c r="E25" s="381"/>
      <c r="F25" s="381"/>
      <c r="G25" s="19">
        <v>142</v>
      </c>
      <c r="H25" s="20"/>
      <c r="I25" s="71">
        <v>194845</v>
      </c>
      <c r="J25" s="71">
        <v>195802</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c r="J36" s="71"/>
    </row>
    <row r="37" spans="1:10" s="2" customFormat="1" ht="13.5" customHeight="1">
      <c r="A37" s="383" t="s">
        <v>1842</v>
      </c>
      <c r="B37" s="383"/>
      <c r="C37" s="383"/>
      <c r="D37" s="383"/>
      <c r="E37" s="383"/>
      <c r="F37" s="383"/>
      <c r="G37" s="19">
        <v>154</v>
      </c>
      <c r="H37" s="20"/>
      <c r="I37" s="70">
        <f>SUM(I38:I47)</f>
        <v>567831</v>
      </c>
      <c r="J37" s="70">
        <f>SUM(J38:J47)</f>
        <v>155342</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1632</v>
      </c>
      <c r="J44" s="71">
        <v>511</v>
      </c>
    </row>
    <row r="45" spans="1:10" s="2" customFormat="1" ht="13.5" customHeight="1">
      <c r="A45" s="381" t="s">
        <v>1428</v>
      </c>
      <c r="B45" s="381"/>
      <c r="C45" s="381"/>
      <c r="D45" s="381"/>
      <c r="E45" s="381"/>
      <c r="F45" s="381"/>
      <c r="G45" s="19">
        <v>162</v>
      </c>
      <c r="H45" s="20"/>
      <c r="I45" s="71"/>
      <c r="J45" s="71">
        <v>2554</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v>566199</v>
      </c>
      <c r="J47" s="71">
        <v>152277</v>
      </c>
    </row>
    <row r="48" spans="1:10" s="2" customFormat="1" ht="13.5" customHeight="1">
      <c r="A48" s="383" t="s">
        <v>1843</v>
      </c>
      <c r="B48" s="383"/>
      <c r="C48" s="383"/>
      <c r="D48" s="383"/>
      <c r="E48" s="383"/>
      <c r="F48" s="383"/>
      <c r="G48" s="19">
        <v>165</v>
      </c>
      <c r="H48" s="20"/>
      <c r="I48" s="70">
        <f>SUM(I49:I55)</f>
        <v>0</v>
      </c>
      <c r="J48" s="70">
        <f>SUM(J49:J55)</f>
        <v>41556</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c r="J51" s="71"/>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v>41556</v>
      </c>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3541947</v>
      </c>
      <c r="J60" s="70">
        <f>J8+J37+J56+J57</f>
        <v>2730993</v>
      </c>
    </row>
    <row r="61" spans="1:10" s="2" customFormat="1" ht="13.5" customHeight="1">
      <c r="A61" s="383" t="s">
        <v>1845</v>
      </c>
      <c r="B61" s="383"/>
      <c r="C61" s="383"/>
      <c r="D61" s="383"/>
      <c r="E61" s="383"/>
      <c r="F61" s="383"/>
      <c r="G61" s="19">
        <v>178</v>
      </c>
      <c r="H61" s="20"/>
      <c r="I61" s="70">
        <f>I14+I48+I58+I59</f>
        <v>2952181</v>
      </c>
      <c r="J61" s="70">
        <f>J14+J48+J58+J59</f>
        <v>2833969</v>
      </c>
    </row>
    <row r="62" spans="1:12" s="2" customFormat="1" ht="13.5" customHeight="1">
      <c r="A62" s="383" t="s">
        <v>2581</v>
      </c>
      <c r="B62" s="383"/>
      <c r="C62" s="383"/>
      <c r="D62" s="383"/>
      <c r="E62" s="383"/>
      <c r="F62" s="383"/>
      <c r="G62" s="19">
        <v>179</v>
      </c>
      <c r="H62" s="20"/>
      <c r="I62" s="70">
        <f>I60-I61</f>
        <v>589766</v>
      </c>
      <c r="J62" s="70">
        <f>J60-J61</f>
        <v>-102976</v>
      </c>
      <c r="L62" s="2" t="s">
        <v>2591</v>
      </c>
    </row>
    <row r="63" spans="1:10" s="2" customFormat="1" ht="13.5" customHeight="1">
      <c r="A63" s="404" t="s">
        <v>2658</v>
      </c>
      <c r="B63" s="404"/>
      <c r="C63" s="404"/>
      <c r="D63" s="404"/>
      <c r="E63" s="404"/>
      <c r="F63" s="404"/>
      <c r="G63" s="19">
        <v>180</v>
      </c>
      <c r="H63" s="20"/>
      <c r="I63" s="70">
        <f>IF(I60&gt;I61,I60-I61,0)</f>
        <v>589766</v>
      </c>
      <c r="J63" s="70">
        <f>IF(J60&gt;J61,J60-J61,0)</f>
        <v>0</v>
      </c>
    </row>
    <row r="64" spans="1:10" s="2" customFormat="1" ht="13.5" customHeight="1">
      <c r="A64" s="404" t="s">
        <v>778</v>
      </c>
      <c r="B64" s="404"/>
      <c r="C64" s="404"/>
      <c r="D64" s="404"/>
      <c r="E64" s="404"/>
      <c r="F64" s="404"/>
      <c r="G64" s="19">
        <v>181</v>
      </c>
      <c r="H64" s="20"/>
      <c r="I64" s="70">
        <f>IF(I61&gt;I60,I61-I60,0)</f>
        <v>0</v>
      </c>
      <c r="J64" s="70">
        <f>IF(J61&gt;J60,J61-J60,0)</f>
        <v>102976</v>
      </c>
    </row>
    <row r="65" spans="1:12" s="2" customFormat="1" ht="13.5" customHeight="1">
      <c r="A65" s="383" t="s">
        <v>2620</v>
      </c>
      <c r="B65" s="383"/>
      <c r="C65" s="383"/>
      <c r="D65" s="383"/>
      <c r="E65" s="383"/>
      <c r="F65" s="383"/>
      <c r="G65" s="19">
        <v>182</v>
      </c>
      <c r="H65" s="20"/>
      <c r="I65" s="71">
        <v>108330</v>
      </c>
      <c r="J65" s="71"/>
      <c r="L65" s="2" t="s">
        <v>2591</v>
      </c>
    </row>
    <row r="66" spans="1:12" s="2" customFormat="1" ht="13.5" customHeight="1">
      <c r="A66" s="383" t="s">
        <v>2582</v>
      </c>
      <c r="B66" s="383"/>
      <c r="C66" s="383"/>
      <c r="D66" s="383"/>
      <c r="E66" s="383"/>
      <c r="F66" s="383"/>
      <c r="G66" s="19">
        <v>183</v>
      </c>
      <c r="H66" s="20"/>
      <c r="I66" s="70">
        <f>I62-I65</f>
        <v>481436</v>
      </c>
      <c r="J66" s="70">
        <f>J62-J65</f>
        <v>-102976</v>
      </c>
      <c r="L66" s="2" t="s">
        <v>2591</v>
      </c>
    </row>
    <row r="67" spans="1:10" s="2" customFormat="1" ht="13.5" customHeight="1">
      <c r="A67" s="404" t="s">
        <v>779</v>
      </c>
      <c r="B67" s="404"/>
      <c r="C67" s="404"/>
      <c r="D67" s="404"/>
      <c r="E67" s="404"/>
      <c r="F67" s="404"/>
      <c r="G67" s="19">
        <v>184</v>
      </c>
      <c r="H67" s="20"/>
      <c r="I67" s="70">
        <f>IF(I66&gt;0,I66,0)</f>
        <v>481436</v>
      </c>
      <c r="J67" s="70">
        <f>IF(J66&gt;0,J66,0)</f>
        <v>0</v>
      </c>
    </row>
    <row r="68" spans="1:10" s="2" customFormat="1" ht="13.5" customHeight="1">
      <c r="A68" s="421" t="s">
        <v>1472</v>
      </c>
      <c r="B68" s="421"/>
      <c r="C68" s="421"/>
      <c r="D68" s="421"/>
      <c r="E68" s="421"/>
      <c r="F68" s="421"/>
      <c r="G68" s="21">
        <v>185</v>
      </c>
      <c r="H68" s="22"/>
      <c r="I68" s="85">
        <f>IF(I66&lt;0,-I66,0)</f>
        <v>0</v>
      </c>
      <c r="J68" s="85">
        <f>IF(J66&lt;0,-J66,0)</f>
        <v>102976</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2" activePane="bottomLeft" state="frozen"/>
      <selection pane="topLeft" activeCell="A1" sqref="A1"/>
      <selection pane="bottomLeft" activeCell="I38" sqref="I38"/>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11250206587; GRAČAC ČISTOĆA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v>2974116</v>
      </c>
      <c r="J26" s="77">
        <v>2575651</v>
      </c>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2974116</v>
      </c>
      <c r="J37" s="94">
        <v>2575651</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v>147232</v>
      </c>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v>511</v>
      </c>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11250206587; GRAČAC ČISTOĆA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11250206587; GRAČAC ČISTOĆA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11250206587; GRAČAC ČISTOĆA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Gracija</cp:lastModifiedBy>
  <cp:lastPrinted>2017-01-04T10:24:58Z</cp:lastPrinted>
  <dcterms:created xsi:type="dcterms:W3CDTF">2008-10-17T11:51:54Z</dcterms:created>
  <dcterms:modified xsi:type="dcterms:W3CDTF">2021-04-19T07:15:04Z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