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82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<sst xmlns="http://schemas.openxmlformats.org/spreadsheetml/2006/main" count="3663" uniqueCount="2966">
  <si>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</si>
  <si>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</si>
  <si>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</si>
  <si>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</si>
  <si>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</si>
  <si>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</si>
  <si>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</si>
  <si>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</si>
  <si>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</si>
  <si>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</si>
  <si>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</si>
  <si>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</si>
  <si>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</si>
  <si>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</si>
  <si>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</si>
  <si>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</si>
  <si>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</si>
  <si>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</si>
  <si>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</si>
  <si>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</si>
  <si>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</si>
  <si>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</si>
  <si>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</si>
  <si>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</si>
  <si>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</si>
  <si>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</si>
  <si>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</si>
  <si>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</si>
  <si>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</si>
  <si>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</si>
  <si>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</si>
  <si>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</si>
  <si>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</si>
  <si>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</si>
  <si>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</si>
  <si>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</si>
  <si>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</si>
  <si>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</si>
  <si>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</si>
  <si>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</si>
  <si>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</si>
  <si>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</si>
  <si>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</si>
  <si>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</si>
  <si>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</si>
  <si>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</si>
  <si>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</si>
  <si>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</si>
  <si>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</si>
  <si>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</si>
  <si>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</si>
  <si>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</si>
  <si>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</si>
  <si>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</si>
  <si>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</si>
  <si>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</si>
  <si>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</si>
  <si>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</si>
  <si>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</si>
  <si>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</si>
  <si>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</si>
  <si>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</si>
  <si>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</si>
  <si>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</si>
  <si>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</si>
  <si>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</si>
  <si>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</si>
  <si>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</si>
  <si>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</si>
  <si>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</si>
  <si>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</si>
  <si>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</si>
  <si>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</si>
  <si>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</si>
  <si>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</si>
  <si>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</si>
  <si>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</si>
  <si>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</si>
  <si>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</si>
  <si>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</si>
  <si>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</si>
  <si>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</si>
  <si>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</si>
  <si>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</si>
  <si>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</si>
  <si>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</si>
  <si>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</si>
  <si>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</si>
  <si>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</si>
  <si>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</si>
  <si>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</si>
  <si>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</si>
  <si>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</si>
  <si>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</si>
  <si>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</si>
  <si>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</si>
  <si>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</si>
  <si>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</si>
  <si>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</si>
  <si>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</si>
  <si>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</si>
  <si>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</si>
  <si>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</si>
  <si>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</si>
  <si>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</si>
  <si>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</si>
  <si>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</si>
  <si>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</si>
  <si>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</si>
  <si>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</si>
  <si>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</si>
  <si>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</si>
  <si>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</si>
  <si>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</si>
  <si>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</si>
  <si>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</si>
  <si>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</si>
  <si>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</si>
  <si>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</si>
  <si>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</si>
  <si>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</si>
  <si>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</si>
  <si>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</si>
  <si>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</si>
  <si>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</si>
  <si>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</si>
  <si>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</si>
  <si>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</si>
  <si>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</si>
  <si>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</si>
  <si>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</si>
  <si>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</si>
  <si>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</si>
  <si>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</si>
  <si>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</si>
  <si>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</si>
  <si>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</si>
  <si>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</si>
  <si>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</si>
  <si>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</si>
  <si>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</si>
  <si>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</si>
  <si>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</si>
  <si>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</si>
  <si>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</si>
  <si>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</si>
  <si>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</si>
  <si>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</si>
  <si>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</si>
  <si>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</si>
  <si>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</si>
  <si>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</si>
  <si>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</si>
  <si>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</si>
  <si>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</si>
  <si>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</si>
  <si>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</si>
  <si>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</si>
  <si>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</si>
  <si>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</si>
  <si>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</si>
  <si>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</si>
  <si>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</si>
  <si>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</si>
  <si>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</si>
  <si>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</si>
  <si>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</si>
  <si>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</si>
  <si>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</si>
  <si>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</si>
  <si>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</si>
  <si>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</si>
  <si>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</si>
  <si>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</si>
  <si>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</si>
  <si>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</si>
  <si>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</si>
  <si>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</si>
  <si>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</si>
  <si>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</si>
  <si>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</si>
  <si>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</si>
  <si>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</si>
  <si>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</si>
  <si>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</si>
  <si>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</si>
  <si>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</si>
  <si>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</si>
  <si>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</si>
  <si>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</si>
  <si>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</si>
  <si>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</si>
  <si>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</si>
  <si>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</si>
  <si>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</si>
  <si>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</si>
  <si>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</si>
  <si>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</si>
  <si>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</si>
  <si>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</si>
  <si>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</si>
  <si>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</si>
  <si>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</si>
  <si>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</si>
  <si>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</si>
  <si>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</si>
  <si>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</si>
  <si>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</si>
  <si>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</si>
  <si>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</si>
  <si>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</si>
  <si>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</si>
  <si>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</si>
  <si>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</si>
  <si>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</si>
  <si>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</si>
  <si>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</si>
  <si>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</si>
  <si>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</si>
  <si>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</si>
  <si>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</si>
  <si>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</si>
  <si>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</si>
  <si>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</si>
  <si>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</si>
  <si>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</si>
  <si>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</si>
  <si>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</si>
  <si>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</si>
  <si>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</si>
  <si>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</si>
  <si>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</si>
  <si>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</si>
  <si>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</si>
  <si>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</si>
  <si>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</si>
  <si>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</si>
  <si>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</si>
  <si>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</si>
  <si>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</si>
  <si>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</si>
  <si>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</si>
  <si>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</si>
  <si>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</si>
  <si>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</si>
  <si>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</si>
  <si>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</si>
  <si>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</si>
  <si>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</si>
  <si>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</si>
  <si>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</si>
  <si>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</si>
  <si>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</si>
  <si>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</si>
  <si>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</si>
  <si>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</si>
  <si>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</si>
  <si>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</si>
  <si>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</si>
  <si>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</si>
  <si>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</si>
  <si>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</si>
  <si>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</si>
  <si>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</si>
  <si>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</si>
  <si>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</si>
  <si>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</si>
  <si>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</si>
  <si>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</si>
  <si>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</si>
  <si>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</si>
  <si>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</si>
  <si>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</si>
  <si>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</si>
  <si>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</si>
  <si>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</si>
  <si>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</si>
  <si>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</si>
  <si>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</si>
  <si>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</si>
  <si>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</si>
  <si>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</si>
  <si>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</si>
  <si>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</si>
  <si>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</si>
  <si>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</si>
  <si>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</si>
  <si>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</si>
  <si>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</si>
  <si>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</si>
  <si>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</si>
  <si>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</si>
  <si>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</si>
  <si>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</si>
  <si>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</si>
  <si>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</si>
  <si>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</si>
  <si>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</si>
  <si>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</si>
  <si>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</si>
  <si>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</si>
  <si>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</si>
  <si>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</si>
  <si>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</si>
  <si>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</si>
  <si>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</si>
  <si>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</si>
  <si>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</si>
  <si>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</si>
  <si>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</si>
  <si>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</si>
  <si>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</si>
  <si>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</si>
  <si>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</si>
  <si>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</si>
  <si>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</si>
  <si>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</si>
  <si>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</si>
  <si>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</si>
  <si>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</si>
  <si>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</si>
  <si>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</si>
  <si>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</si>
  <si>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</si>
  <si>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</si>
  <si>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</si>
  <si>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</si>
  <si>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</si>
  <si>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</si>
  <si>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</si>
  <si>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</si>
  <si>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</si>
  <si>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</si>
  <si>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</si>
  <si>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</si>
  <si>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</si>
  <si>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</si>
  <si>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</si>
  <si>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</si>
  <si>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</si>
  <si>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</si>
  <si>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</si>
  <si>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</si>
  <si>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</si>
  <si>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</si>
  <si>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</si>
  <si>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</si>
  <si>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</si>
  <si>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</si>
  <si>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</si>
  <si>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</si>
  <si>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</si>
  <si>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</si>
  <si>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</si>
  <si>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</si>
  <si>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</si>
  <si>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</si>
  <si>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</si>
  <si>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</si>
  <si>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</si>
  <si>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</si>
  <si>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</si>
  <si>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</si>
  <si>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</si>
  <si>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</si>
  <si>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</si>
  <si>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</si>
  <si>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</si>
  <si>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</si>
  <si>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</si>
  <si>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</si>
  <si>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</si>
  <si>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</si>
  <si>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</si>
  <si>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</si>
  <si>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</si>
  <si>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</si>
  <si>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</si>
  <si>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</si>
  <si>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</si>
  <si>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</si>
  <si>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</si>
  <si>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</si>
  <si>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</si>
  <si>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</si>
  <si>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</si>
  <si>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</si>
  <si>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</si>
  <si>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</si>
  <si>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</si>
  <si>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</si>
  <si>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</si>
  <si>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</si>
  <si>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</si>
  <si>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</si>
  <si>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</si>
  <si>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</si>
  <si>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</si>
  <si>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</si>
  <si>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</si>
  <si>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</si>
  <si>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</si>
  <si>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</si>
  <si>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</si>
  <si>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</si>
  <si>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</si>
  <si>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</si>
  <si>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</si>
  <si>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</si>
  <si>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</si>
  <si>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</si>
  <si>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</si>
  <si>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</si>
  <si>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</si>
  <si>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</si>
  <si>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</si>
  <si>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</si>
  <si>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</si>
  <si>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</si>
  <si>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</si>
  <si>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</si>
  <si>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</si>
  <si>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</si>
  <si>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</si>
  <si>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</si>
  <si>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</si>
  <si>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</si>
  <si>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</si>
  <si>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</si>
  <si>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</si>
  <si>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</si>
  <si>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</si>
  <si>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</si>
  <si>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</si>
  <si>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</si>
  <si>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</si>
  <si>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</si>
  <si>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</si>
  <si>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</si>
  <si>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</si>
  <si>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</si>
  <si>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</si>
  <si>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</si>
  <si>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</si>
  <si>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</si>
  <si>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</si>
  <si>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</si>
  <si>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</si>
  <si>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</si>
  <si>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</si>
  <si>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</si>
  <si>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</si>
  <si>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</si>
  <si>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</si>
  <si>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</si>
  <si>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</si>
  <si>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</si>
  <si>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</si>
  <si>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</si>
  <si>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</si>
  <si>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</si>
  <si>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</si>
  <si>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</si>
  <si>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</si>
  <si>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</si>
  <si>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</si>
  <si>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</si>
  <si>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</si>
  <si>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</si>
  <si>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</si>
  <si>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</si>
  <si>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</si>
  <si>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</si>
  <si>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</si>
  <si>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</si>
  <si>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</si>
  <si>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</si>
  <si>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</si>
  <si>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</si>
  <si>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</si>
  <si>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</si>
  <si>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</si>
  <si>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</si>
  <si>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</si>
  <si>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</si>
  <si>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</si>
  <si>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</si>
  <si>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</si>
  <si>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</si>
  <si>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</si>
  <si>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</si>
  <si>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</si>
  <si>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</si>
  <si>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</si>
  <si>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</si>
  <si>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</si>
  <si>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</si>
  <si>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</si>
  <si>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</si>
  <si>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</si>
  <si>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</si>
  <si>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</si>
  <si>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</si>
  <si>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</si>
  <si>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</si>
  <si>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</si>
  <si>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</si>
  <si>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</si>
  <si>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</si>
  <si>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</si>
  <si>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</si>
  <si>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</si>
  <si>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</si>
  <si>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</si>
  <si>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</si>
  <si>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</si>
  <si>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</si>
  <si>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</si>
  <si>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</si>
  <si>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</si>
  <si>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</si>
  <si>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</si>
  <si>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</si>
  <si>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</si>
  <si>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</si>
  <si>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</si>
  <si>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</si>
  <si>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</si>
  <si>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</si>
  <si>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</si>
  <si>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</si>
  <si>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</si>
  <si>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</si>
  <si>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</si>
  <si>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</si>
  <si>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</si>
  <si>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</si>
  <si>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</si>
  <si>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</si>
  <si>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</si>
  <si>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</si>
  <si>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</si>
  <si>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</si>
  <si>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</si>
  <si>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</si>
  <si>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</si>
  <si>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</si>
  <si>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</si>
  <si>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</si>
  <si>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</si>
  <si>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</si>
  <si>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</si>
  <si>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</si>
  <si>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</si>
  <si>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</si>
  <si>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</si>
  <si>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</si>
  <si>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</si>
  <si>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</si>
  <si>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</si>
  <si>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</si>
  <si>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</si>
  <si>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</si>
  <si>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</si>
  <si>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</si>
  <si>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</si>
  <si>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</si>
  <si>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</si>
  <si>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</si>
  <si>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</si>
  <si>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</si>
  <si>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</si>
  <si>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</si>
  <si>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</si>
  <si>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</si>
  <si>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</si>
  <si>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</si>
  <si>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</si>
  <si>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</si>
  <si>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</si>
  <si>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</si>
  <si>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</si>
  <si>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</si>
  <si>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</si>
  <si>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</si>
  <si>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</si>
  <si>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</si>
  <si>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</si>
  <si>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</si>
  <si>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</si>
  <si>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</si>
  <si>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</si>
  <si>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</si>
  <si>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</si>
  <si>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</si>
  <si>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</si>
  <si>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</si>
  <si>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</si>
  <si>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</si>
  <si>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</si>
  <si>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</si>
  <si>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</si>
  <si>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</si>
  <si>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</si>
  <si>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</si>
  <si>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</si>
  <si>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</si>
  <si>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</si>
  <si>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</si>
  <si>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</si>
  <si>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</si>
  <si>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</si>
  <si>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</si>
  <si>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</si>
  <si>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</si>
  <si>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</si>
  <si>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</si>
  <si>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</si>
  <si>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</si>
  <si>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</si>
  <si>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</si>
  <si>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</si>
  <si>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</si>
  <si>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</si>
  <si>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</si>
  <si>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</si>
  <si>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</si>
  <si>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</si>
  <si>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</si>
  <si>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</si>
  <si>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</si>
  <si>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</si>
  <si>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</si>
  <si>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</si>
  <si>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</si>
  <si>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</si>
  <si>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</si>
  <si>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</si>
  <si>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</si>
  <si>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</si>
  <si>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</si>
  <si>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</si>
  <si>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</si>
  <si>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</si>
  <si>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</si>
  <si>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</si>
  <si>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</si>
  <si>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</si>
  <si>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</si>
  <si>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</si>
  <si>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</si>
  <si>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</si>
  <si>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</si>
  <si>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</si>
  <si>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</si>
  <si>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</si>
  <si>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</si>
  <si>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</si>
  <si>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</si>
  <si>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</si>
  <si>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</si>
  <si>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</si>
  <si>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</si>
  <si>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</si>
  <si>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</si>
  <si>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</si>
  <si>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</si>
  <si>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</si>
  <si>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</si>
  <si>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</si>
  <si>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</si>
  <si>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</si>
  <si>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</si>
  <si>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</si>
  <si>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</si>
  <si>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</si>
  <si>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</si>
  <si>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</si>
  <si>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</si>
  <si>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</si>
  <si>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</si>
  <si>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</si>
  <si>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</si>
  <si>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</si>
  <si>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</si>
  <si>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</si>
  <si>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</si>
  <si>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</si>
  <si>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</si>
  <si>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</si>
  <si>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</si>
  <si>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</si>
  <si>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</si>
  <si>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</si>
  <si>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</si>
  <si>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</si>
  <si>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</si>
  <si>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</si>
  <si>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</si>
  <si>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</si>
  <si>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</si>
  <si>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</si>
  <si>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</si>
  <si>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</si>
  <si>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</si>
  <si>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</si>
  <si>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</si>
  <si>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</si>
  <si>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</si>
  <si>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</si>
  <si>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</si>
  <si>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</si>
  <si>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</si>
  <si>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</si>
  <si>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</si>
  <si>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</si>
  <si>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</si>
  <si>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</si>
  <si>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</si>
  <si>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</si>
  <si>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</si>
  <si>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</si>
  <si>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</si>
  <si>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</si>
  <si>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</si>
  <si>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</si>
  <si>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</si>
  <si>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</si>
  <si>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</si>
  <si>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</si>
  <si>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</si>
  <si>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</si>
  <si>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</si>
  <si>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</si>
  <si>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</si>
  <si>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</si>
  <si>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</si>
  <si>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</si>
  <si>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</si>
  <si>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</si>
  <si>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</si>
  <si>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</si>
  <si>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</si>
  <si>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</si>
  <si>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</si>
  <si>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</si>
  <si>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</si>
  <si>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</si>
  <si>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</si>
  <si>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</si>
  <si>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</si>
  <si>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</si>
  <si>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</si>
  <si>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</si>
  <si>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</si>
  <si>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</si>
  <si>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</si>
  <si>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</si>
  <si>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</si>
  <si>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</si>
  <si>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</si>
  <si>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</si>
  <si>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</si>
  <si>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</si>
  <si>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</si>
  <si>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</si>
  <si>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</si>
  <si>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</si>
  <si>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</si>
  <si>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</si>
  <si>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</si>
  <si>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</si>
  <si>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</si>
  <si>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</si>
  <si>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</si>
  <si>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</si>
  <si>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</si>
  <si>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</si>
  <si>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</si>
  <si>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</si>
  <si>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</si>
  <si>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</si>
  <si>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</si>
  <si>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</si>
  <si>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</si>
  <si>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</si>
  <si>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</si>
  <si>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</si>
  <si>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</si>
  <si>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</si>
  <si>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</si>
  <si>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</si>
  <si>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</si>
  <si>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</si>
  <si>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</si>
  <si>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</si>
  <si>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</si>
  <si>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</si>
  <si>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</si>
  <si>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</si>
  <si>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</si>
  <si>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</si>
  <si>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</si>
  <si>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</si>
  <si>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</si>
  <si>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</si>
  <si>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</si>
  <si>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</si>
  <si>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</si>
  <si>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</si>
  <si>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</si>
  <si>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</si>
  <si>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</si>
  <si>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</si>
  <si>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</si>
  <si>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</si>
  <si>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</si>
  <si>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</si>
  <si>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</si>
  <si>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</si>
  <si>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</si>
  <si>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</si>
  <si>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</si>
  <si>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</si>
  <si>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</si>
  <si>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</si>
  <si>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</si>
  <si>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</si>
  <si>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</si>
  <si>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</si>
  <si>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</si>
  <si>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</si>
  <si>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</si>
  <si>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</si>
  <si>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</si>
  <si>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</si>
  <si>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</si>
  <si>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</si>
  <si>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</si>
  <si>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</si>
  <si>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</si>
  <si>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</si>
  <si>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</si>
  <si>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</si>
  <si>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</si>
  <si>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</si>
  <si>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</si>
  <si>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</si>
  <si>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</si>
  <si>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</si>
  <si>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</si>
  <si>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</si>
  <si>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</si>
  <si>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</si>
  <si>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</si>
  <si>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</si>
  <si>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</si>
  <si>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</si>
  <si>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</si>
  <si>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</si>
  <si>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</si>
  <si>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</si>
  <si>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</si>
  <si>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</si>
  <si>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</si>
  <si>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</si>
  <si>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</si>
  <si>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</si>
  <si>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</si>
  <si>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</si>
  <si>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</si>
  <si>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</si>
  <si>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</si>
  <si>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</si>
  <si>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</si>
  <si>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</si>
  <si>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</si>
  <si>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</si>
  <si>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</si>
  <si>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</si>
  <si>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</si>
  <si>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</si>
  <si>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</si>
  <si>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</si>
  <si>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</si>
  <si>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</si>
  <si>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</si>
  <si>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</si>
  <si>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</si>
  <si>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</si>
  <si>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</si>
  <si>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</si>
  <si>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</si>
  <si>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</si>
  <si>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</si>
  <si>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</si>
  <si>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</si>
  <si>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</si>
  <si>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</si>
  <si>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</si>
  <si>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</si>
  <si>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</si>
  <si>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</si>
  <si>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</si>
  <si>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</si>
  <si>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</si>
  <si>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</si>
  <si>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</si>
  <si>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</si>
  <si>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</si>
  <si>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</si>
  <si>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</si>
  <si>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</si>
  <si>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</si>
  <si>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</si>
  <si>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</si>
  <si>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</si>
  <si>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</si>
  <si>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</si>
  <si>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</si>
  <si>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</si>
  <si>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</si>
  <si>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</si>
  <si>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</si>
  <si>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</si>
  <si>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</si>
  <si>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</si>
  <si>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</si>
  <si>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</si>
  <si>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</si>
  <si>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</si>
  <si>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</si>
  <si>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</si>
  <si>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</si>
  <si>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</si>
  <si>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</si>
  <si>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</si>
  <si>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</si>
  <si>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</si>
  <si>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</si>
  <si>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</si>
  <si>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</si>
  <si>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</si>
  <si>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</si>
  <si>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</si>
  <si>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</si>
  <si>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</si>
  <si>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</si>
  <si>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</si>
  <si>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</si>
  <si>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</si>
  <si>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</si>
  <si>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</si>
  <si>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</si>
  <si>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</si>
  <si>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</si>
  <si>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</si>
  <si>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</si>
  <si>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</si>
  <si>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</si>
  <si>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</si>
  <si>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</si>
  <si>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</si>
  <si>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</si>
  <si>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</si>
  <si>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</si>
  <si>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</si>
  <si>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</si>
  <si>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</si>
  <si>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</si>
  <si>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</si>
  <si>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</si>
  <si>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</si>
  <si>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</si>
  <si>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</si>
  <si>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</si>
  <si>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</si>
  <si>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</si>
  <si>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</si>
  <si>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</si>
  <si>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</si>
  <si>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</si>
  <si>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</si>
  <si>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</si>
  <si>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</si>
  <si>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</si>
  <si>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</si>
  <si>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</si>
  <si>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</si>
  <si>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</si>
  <si>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</si>
  <si>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</si>
  <si>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</si>
  <si>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</si>
  <si>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</si>
  <si>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</si>
  <si>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</si>
  <si>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</si>
  <si>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</si>
  <si>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</si>
  <si>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</si>
  <si>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</si>
  <si>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</si>
  <si>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</si>
  <si>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</si>
  <si>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</si>
  <si>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</si>
  <si>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</si>
  <si>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</si>
  <si>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</si>
  <si>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</si>
  <si>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</si>
  <si>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</si>
  <si>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</si>
  <si>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</si>
  <si>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</si>
  <si>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</si>
  <si>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</si>
  <si>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</si>
  <si>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</si>
  <si>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</si>
  <si>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</si>
  <si>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</si>
  <si>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</si>
  <si>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</si>
  <si>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</si>
  <si>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</si>
  <si>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</si>
  <si>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</si>
  <si>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</si>
  <si>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</si>
  <si>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</si>
  <si>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</si>
  <si>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</si>
  <si>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</si>
  <si>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</si>
  <si>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</si>
  <si>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</si>
  <si>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</si>
  <si>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</si>
  <si>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</si>
  <si>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</si>
  <si>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</si>
  <si>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</si>
  <si>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</si>
  <si>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</si>
  <si>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</si>
  <si>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</si>
  <si>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</si>
  <si>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</si>
  <si>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</si>
  <si>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</si>
  <si>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</si>
  <si>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</si>
  <si>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</si>
  <si>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</si>
  <si>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</si>
  <si>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</si>
  <si>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</si>
  <si>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</si>
  <si>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</si>
  <si>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</si>
  <si>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</si>
  <si>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</si>
  <si>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</si>
  <si>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</si>
  <si>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</si>
  <si>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</si>
  <si>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</si>
  <si>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</si>
  <si>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</si>
  <si>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</si>
  <si>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</si>
  <si>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</si>
  <si>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</si>
  <si>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</si>
  <si>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</si>
  <si>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</si>
  <si>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</si>
  <si>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</si>
  <si>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</si>
  <si>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</si>
  <si>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</si>
  <si>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</si>
  <si>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</si>
  <si>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</si>
  <si>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</si>
  <si>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</si>
  <si>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</si>
  <si>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</si>
  <si>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</si>
  <si>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</si>
  <si>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</si>
  <si>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</si>
  <si>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</si>
  <si>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</si>
  <si>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</si>
  <si>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</si>
  <si>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</si>
  <si>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</si>
  <si>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</si>
  <si>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</si>
  <si>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</si>
  <si>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</si>
  <si>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</si>
  <si>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</si>
  <si>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</si>
  <si>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</si>
  <si>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</si>
  <si>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</si>
  <si>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</si>
  <si>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</si>
  <si>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</si>
  <si>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</si>
  <si>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</si>
  <si>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</si>
  <si>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</si>
  <si>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</si>
  <si>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</si>
  <si>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</si>
  <si>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</si>
  <si>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</si>
  <si>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</si>
  <si>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</si>
  <si>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</si>
  <si>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</si>
  <si>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</si>
  <si>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</si>
  <si>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</si>
  <si>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</si>
  <si>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</si>
  <si>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</si>
  <si>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</si>
  <si>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</si>
  <si>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</si>
  <si>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</si>
  <si>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</si>
  <si>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</si>
  <si>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</si>
  <si>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</si>
  <si>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</si>
  <si>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</si>
  <si>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</si>
  <si>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</si>
  <si>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</si>
  <si>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</si>
  <si>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</si>
  <si>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</si>
  <si>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</si>
  <si>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</si>
  <si>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</si>
  <si>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</si>
  <si>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</si>
  <si>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</si>
  <si>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</si>
  <si>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</si>
  <si>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</si>
  <si>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</si>
  <si>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</si>
  <si>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</si>
  <si>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</si>
  <si>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</si>
  <si>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</si>
  <si>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</si>
  <si>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</si>
  <si>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</si>
  <si>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</si>
  <si>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</si>
  <si>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</si>
  <si>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</si>
  <si>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</si>
  <si>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</si>
  <si>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</si>
  <si>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</si>
  <si>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</si>
  <si>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</si>
  <si>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</si>
  <si>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</si>
  <si>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</si>
  <si>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</si>
  <si>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</si>
  <si>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</si>
  <si>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</si>
  <si>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</si>
  <si>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</si>
  <si>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</si>
  <si>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</si>
  <si>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</si>
  <si>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</si>
  <si>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</si>
  <si>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</si>
  <si>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</si>
  <si>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</si>
  <si>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</si>
  <si>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</si>
  <si>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</si>
  <si>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</si>
  <si>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</si>
  <si>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</si>
  <si>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</si>
  <si>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</si>
  <si>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</si>
  <si>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</si>
  <si>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</si>
  <si>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</si>
  <si>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</si>
  <si>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</si>
  <si>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</si>
  <si>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</si>
  <si>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</si>
  <si>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</si>
  <si>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</si>
  <si>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</si>
  <si>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</si>
  <si>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</si>
  <si>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</si>
  <si>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</si>
  <si>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</si>
  <si>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</si>
  <si>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</si>
  <si>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</si>
  <si>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</si>
  <si>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</si>
  <si>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</si>
  <si>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</si>
  <si>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</si>
  <si>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</si>
  <si>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</si>
  <si>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</si>
  <si>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</si>
  <si>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</si>
  <si>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</si>
  <si>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</si>
  <si>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</si>
  <si>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</si>
  <si>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</si>
  <si>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</si>
  <si>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</si>
  <si>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</si>
  <si>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</si>
  <si>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</si>
  <si>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</si>
  <si>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</si>
  <si>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</si>
  <si>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</si>
  <si>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</si>
  <si>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</si>
  <si>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</si>
  <si>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</si>
  <si>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</si>
  <si>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</si>
  <si>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</si>
  <si>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</si>
  <si>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</si>
  <si>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</si>
  <si>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</si>
  <si>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</si>
  <si>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</si>
  <si>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</si>
  <si>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</si>
  <si>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</si>
  <si>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</si>
  <si>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</si>
  <si>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</si>
  <si>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</si>
  <si>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</si>
  <si>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</si>
  <si>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</si>
  <si>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</si>
  <si>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</si>
  <si>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</si>
  <si>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</si>
  <si>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</si>
  <si>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</si>
  <si>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</si>
  <si>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</si>
  <si>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</si>
  <si>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</si>
  <si>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</si>
  <si>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</si>
  <si>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</si>
  <si>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</si>
  <si>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</si>
  <si>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</si>
  <si>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</si>
  <si>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</si>
  <si>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</si>
  <si>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</si>
  <si>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</si>
  <si>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</si>
  <si>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</si>
  <si>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</si>
  <si>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</si>
  <si>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</si>
  <si>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</si>
  <si>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</si>
  <si>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</si>
  <si>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</si>
  <si>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</si>
  <si>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</si>
  <si>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</si>
  <si>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</si>
  <si>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</si>
  <si>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</si>
  <si>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</si>
  <si>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</si>
  <si>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</si>
  <si>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</si>
  <si>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</si>
  <si>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</si>
  <si>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</si>
  <si>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</si>
  <si>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</si>
  <si>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</si>
  <si>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</si>
  <si>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</si>
  <si>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</si>
  <si>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</si>
  <si>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</si>
  <si>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</si>
  <si>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</si>
  <si>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</si>
  <si>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</si>
  <si>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</si>
  <si>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</si>
  <si>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</si>
  <si>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</si>
  <si>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</si>
  <si>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</si>
  <si>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</si>
  <si>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</si>
  <si>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</si>
  <si>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</si>
  <si>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</si>
  <si>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</si>
  <si>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</si>
  <si>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</si>
  <si>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</si>
  <si>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</si>
  <si>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</si>
  <si>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</si>
  <si>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</si>
  <si>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</si>
  <si>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</si>
  <si>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</si>
  <si>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</si>
  <si>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</si>
  <si>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</si>
  <si>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</si>
  <si>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</si>
  <si>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</si>
  <si>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</si>
  <si>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</si>
  <si>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</si>
  <si>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</si>
  <si>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</si>
  <si>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</si>
  <si>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</si>
  <si>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</si>
  <si>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</si>
  <si>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</si>
  <si>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</si>
  <si>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</si>
  <si>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</si>
  <si>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</si>
  <si>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</si>
  <si>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</si>
  <si>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</si>
  <si>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</si>
  <si>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</si>
  <si>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</si>
  <si>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</si>
  <si>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</si>
  <si>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</si>
  <si>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</si>
  <si>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</si>
  <si>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</si>
  <si>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</si>
  <si>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</si>
  <si>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</si>
  <si>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</si>
  <si>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</si>
  <si>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</si>
  <si>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</si>
  <si>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</si>
  <si>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</si>
  <si>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</si>
  <si>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</si>
  <si>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</si>
  <si>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</si>
  <si>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</si>
  <si>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</si>
  <si>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</si>
  <si>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</si>
  <si>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</si>
  <si>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</si>
  <si>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</si>
  <si>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</si>
  <si>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</si>
  <si>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</si>
  <si>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</si>
  <si>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</si>
  <si>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</si>
  <si>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</si>
  <si>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</si>
  <si>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</si>
  <si>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</si>
  <si>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</si>
  <si>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</si>
  <si>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</si>
  <si>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</si>
  <si>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</si>
  <si>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</si>
  <si>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</si>
  <si>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</si>
  <si>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</si>
  <si>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</si>
  <si>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</si>
  <si>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</si>
  <si>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</si>
  <si>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</si>
  <si>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</si>
  <si>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</si>
  <si>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</si>
  <si>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</si>
  <si>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</si>
  <si>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</si>
  <si>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</si>
  <si>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</si>
  <si>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</si>
  <si>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</si>
  <si>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</si>
  <si>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</si>
  <si>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</si>
  <si>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</si>
  <si>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</si>
  <si>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</si>
  <si>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</si>
  <si>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</si>
  <si>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</si>
  <si>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</si>
  <si>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</si>
  <si>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</si>
  <si>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</si>
  <si>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</si>
  <si>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</si>
  <si>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</si>
  <si>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</si>
  <si>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</si>
  <si>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</si>
  <si>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</si>
  <si>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</si>
  <si>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</si>
  <si>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</si>
  <si>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</si>
  <si>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</si>
  <si>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</si>
  <si>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</si>
  <si>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</si>
  <si>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</si>
  <si>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</si>
  <si>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</si>
  <si>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</si>
  <si>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</si>
  <si>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</si>
  <si>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</si>
  <si>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</si>
  <si>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</si>
  <si>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</si>
  <si>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</si>
  <si>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</si>
  <si>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</si>
  <si>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</si>
  <si>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</si>
  <si>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</si>
  <si>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</si>
  <si>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</si>
  <si>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</si>
  <si>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</si>
  <si>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</si>
  <si>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</si>
  <si>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</si>
  <si>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</si>
  <si>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</si>
  <si>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</si>
  <si>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</si>
  <si>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</si>
  <si>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</si>
  <si>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</si>
  <si>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</si>
  <si>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</si>
  <si>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</si>
  <si>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</si>
  <si>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</si>
  <si>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</si>
  <si>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</si>
  <si>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</si>
  <si>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</si>
  <si>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</si>
  <si>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</si>
  <si>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</si>
  <si>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</si>
  <si>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</si>
  <si>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</si>
  <si>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</si>
  <si>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</si>
  <si>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</si>
  <si>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</si>
  <si>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</si>
  <si>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</si>
  <si>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</si>
  <si>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</si>
  <si>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</si>
  <si>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</si>
  <si>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</si>
  <si>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</si>
  <si>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</si>
  <si>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</si>
  <si>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</si>
  <si>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</si>
  <si>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</si>
  <si>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</si>
  <si>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</si>
  <si>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</si>
  <si>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</si>
  <si>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</si>
  <si>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</si>
  <si>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</si>
  <si>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</si>
  <si>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</si>
  <si>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</si>
  <si>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</si>
  <si>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</si>
  <si>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</si>
  <si>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</si>
  <si>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</si>
  <si>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</si>
  <si>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</si>
  <si>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</si>
  <si>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</si>
  <si>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</si>
  <si>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</si>
  <si>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</si>
  <si>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</si>
  <si>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</si>
  <si>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</si>
  <si>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</si>
  <si>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</si>
  <si>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</si>
  <si>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</si>
  <si>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</si>
  <si>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</si>
  <si>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</si>
  <si>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</si>
  <si>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</si>
  <si>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</si>
  <si>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</si>
  <si>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</si>
  <si>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</si>
  <si>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</si>
  <si>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</si>
  <si>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</si>
  <si>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</si>
  <si>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</si>
  <si>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</si>
  <si>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</si>
  <si>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</si>
  <si>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</si>
  <si>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</si>
  <si>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</si>
  <si>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</si>
  <si>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</si>
  <si>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</si>
  <si>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</si>
  <si>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</si>
  <si>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</si>
  <si>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</si>
  <si>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</si>
  <si>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</si>
  <si>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</si>
  <si>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</si>
  <si>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</si>
  <si>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</si>
  <si>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</si>
  <si>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</si>
  <si>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</si>
  <si>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</si>
  <si>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</si>
  <si>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</si>
  <si>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</si>
  <si>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</si>
  <si>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</si>
  <si>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</si>
  <si>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</si>
  <si>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</si>
  <si>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</si>
  <si>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</si>
  <si>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</si>
  <si>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</si>
  <si>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</si>
  <si>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</si>
  <si>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</si>
  <si>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</si>
  <si>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</si>
  <si>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</si>
  <si>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</si>
  <si>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</si>
  <si>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</si>
  <si>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</si>
  <si>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</si>
  <si>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</si>
  <si>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</si>
  <si>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</si>
  <si>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</si>
  <si>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</si>
  <si>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</si>
  <si>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</si>
  <si>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</si>
  <si>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</si>
  <si>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</si>
  <si>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</si>
  <si>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</si>
  <si>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</si>
  <si>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</si>
  <si>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</si>
  <si>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</si>
  <si>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</si>
  <si>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</si>
  <si>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</si>
  <si>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</si>
  <si>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</si>
  <si>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</si>
  <si>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</si>
  <si>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</si>
  <si>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</si>
  <si>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</si>
  <si>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</si>
  <si>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</si>
  <si>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</si>
  <si>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</si>
  <si>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</si>
  <si>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</si>
  <si>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</si>
  <si>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</si>
  <si>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</si>
  <si>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</si>
  <si>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</si>
  <si>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</si>
  <si>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</si>
  <si>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</si>
  <si>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</si>
  <si>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</si>
  <si>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</si>
  <si>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</si>
  <si>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</si>
  <si>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</si>
  <si>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</si>
  <si>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</si>
  <si>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</si>
  <si>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</si>
  <si>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</si>
  <si>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</si>
  <si>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</si>
  <si>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</si>
  <si>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</si>
  <si>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</si>
  <si>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</si>
  <si>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</si>
  <si>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</si>
  <si>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</si>
  <si>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</si>
  <si>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</si>
  <si>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</si>
  <si>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</si>
  <si>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</si>
  <si>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</si>
  <si>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</si>
  <si>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</si>
  <si>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</si>
  <si>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</si>
  <si>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</si>
  <si>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</si>
  <si>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</si>
  <si>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</si>
  <si>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</si>
  <si>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</si>
  <si>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</si>
  <si>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</si>
  <si>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</si>
  <si>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</si>
  <si>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</si>
  <si>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</si>
  <si>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</si>
  <si>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</si>
  <si>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</si>
  <si>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</si>
  <si>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</si>
  <si>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</si>
  <si>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</si>
  <si>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</si>
  <si>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</si>
  <si>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</si>
  <si>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</si>
  <si>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</si>
  <si>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</si>
  <si>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</si>
  <si>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</si>
  <si>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</si>
  <si>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</si>
  <si>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</si>
  <si>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</si>
  <si>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</si>
  <si>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</si>
  <si>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</si>
  <si>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</si>
  <si>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</si>
  <si>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</si>
  <si>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</si>
  <si>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</si>
  <si>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</si>
  <si>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</si>
  <si>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</si>
  <si>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</si>
  <si>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</si>
  <si>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</si>
  <si>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</si>
  <si>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</si>
  <si>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</si>
  <si>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</si>
  <si>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</si>
  <si>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</si>
  <si>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</si>
  <si>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</si>
  <si>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</si>
  <si>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</si>
  <si>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</si>
  <si>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</si>
  <si>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</si>
  <si>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</si>
  <si>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</si>
  <si>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</si>
  <si>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</si>
  <si>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</si>
  <si>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</si>
  <si>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</si>
  <si>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</si>
  <si>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</si>
  <si>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</si>
  <si>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</si>
  <si>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</si>
  <si>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</si>
  <si>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</si>
  <si>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</si>
  <si>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</si>
  <si>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</si>
  <si>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</si>
  <si>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</si>
  <si>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</si>
  <si>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</si>
  <si>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</si>
  <si>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</si>
  <si>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</si>
  <si>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</si>
  <si>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</si>
  <si>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</si>
  <si>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</si>
  <si>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</si>
  <si>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</si>
  <si>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</si>
  <si>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</si>
  <si>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</si>
  <si>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</si>
  <si>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</si>
  <si>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</si>
  <si>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</si>
  <si>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</si>
  <si>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</si>
  <si>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</si>
  <si>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</si>
  <si>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</si>
  <si>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</si>
  <si>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</si>
  <si>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</si>
  <si>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</si>
  <si>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</si>
  <si>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</si>
  <si>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</si>
  <si>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</si>
  <si>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</si>
  <si>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</si>
  <si>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</si>
  <si>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</si>
  <si>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</si>
  <si>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</si>
  <si>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</si>
  <si>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</si>
  <si>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</si>
  <si>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</si>
  <si>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</si>
  <si>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</si>
  <si>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</si>
  <si>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</si>
  <si>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</si>
  <si>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</si>
  <si>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</si>
  <si>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</si>
  <si>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</si>
  <si>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</si>
  <si>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</si>
  <si>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</si>
  <si>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</si>
  <si>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</si>
  <si>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</si>
  <si>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</si>
  <si>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</si>
  <si>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</si>
  <si>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</si>
  <si>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</si>
  <si>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</si>
  <si>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</si>
  <si>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</si>
  <si>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</si>
  <si>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</si>
  <si>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</si>
  <si>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</si>
  <si>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</si>
  <si>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</si>
  <si>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</si>
  <si>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</si>
  <si>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</si>
  <si>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</si>
  <si>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</si>
  <si>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</si>
  <si>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</si>
  <si>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</si>
  <si>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</si>
  <si>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</si>
  <si>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</si>
  <si>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</si>
  <si>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</si>
  <si>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</si>
  <si>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</si>
  <si>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</si>
  <si>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</si>
  <si>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</si>
  <si>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</si>
  <si>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</si>
  <si>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</si>
  <si>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</si>
  <si>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</si>
  <si>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</si>
  <si>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</si>
  <si>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</si>
  <si>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</si>
  <si>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</si>
  <si>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</si>
  <si>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</si>
  <si>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</si>
  <si>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</si>
  <si>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</si>
  <si>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</si>
  <si>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</si>
  <si>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</si>
  <si>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</si>
  <si>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</si>
  <si>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</si>
  <si>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</si>
  <si>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</si>
  <si>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</si>
  <si>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</si>
  <si>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</si>
  <si>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</si>
  <si>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</si>
  <si>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</si>
  <si>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</si>
  <si>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</si>
  <si>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</si>
  <si>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</si>
  <si>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</si>
  <si>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</si>
  <si>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</si>
  <si>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</si>
  <si>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</si>
  <si>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</si>
  <si>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</si>
  <si>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</si>
  <si>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</si>
  <si>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</si>
  <si>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</si>
  <si>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</si>
  <si>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</si>
  <si>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</si>
  <si>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</si>
  <si>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</si>
  <si>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</si>
  <si>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</si>
  <si>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</si>
  <si>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</si>
  <si>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</si>
  <si>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</si>
  <si>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</si>
  <si>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</si>
  <si>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</si>
  <si>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</si>
  <si>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</si>
  <si>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</si>
  <si>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</si>
  <si>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</si>
  <si>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</si>
  <si>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</si>
  <si>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</si>
  <si>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</si>
  <si>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</si>
  <si>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</si>
  <si>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</si>
  <si>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</si>
  <si>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</si>
  <si>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</si>
  <si>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</si>
  <si>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</si>
  <si>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</si>
  <si>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</si>
  <si>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</si>
  <si>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</si>
  <si>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</si>
  <si>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</si>
  <si>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</si>
  <si>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</si>
  <si>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</si>
  <si>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</si>
  <si>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</si>
  <si>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</si>
  <si>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</si>
  <si>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</si>
  <si>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</si>
  <si>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</si>
  <si>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</si>
  <si>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</si>
  <si>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</si>
  <si>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</si>
  <si>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</si>
  <si>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</si>
  <si>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</si>
  <si>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</si>
  <si>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</si>
  <si>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</si>
  <si>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</si>
  <si>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</si>
  <si>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</si>
  <si>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</si>
  <si>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</si>
  <si>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</si>
  <si>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</si>
  <si>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</si>
  <si>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</si>
  <si>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</si>
  <si>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</si>
  <si>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</si>
  <si>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</si>
  <si>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</si>
  <si>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</si>
  <si>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</si>
  <si>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</si>
  <si>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</si>
  <si>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</si>
  <si>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</si>
  <si>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</si>
  <si>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</si>
  <si>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</si>
  <si>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</si>
  <si>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</si>
  <si>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</si>
  <si>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</si>
  <si>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</si>
  <si>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</si>
  <si>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</si>
  <si>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</si>
  <si>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</si>
  <si>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</si>
  <si>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</si>
  <si>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</si>
  <si>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</si>
  <si>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</si>
  <si>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</si>
  <si>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</si>
  <si>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</si>
  <si>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</si>
  <si>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</si>
  <si>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</si>
  <si>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</si>
  <si>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</si>
  <si>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</si>
  <si>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</si>
  <si>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</si>
  <si>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</si>
  <si>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</si>
  <si>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</si>
  <si>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</si>
  <si>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</si>
  <si>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</si>
  <si>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</si>
  <si>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</si>
  <si>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</si>
  <si>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</si>
  <si>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</si>
  <si>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</si>
  <si>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</si>
  <si>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</si>
  <si>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</si>
  <si>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</si>
  <si>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</si>
  <si>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</si>
  <si>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</si>
  <si>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</si>
  <si>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</si>
  <si>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</si>
  <si>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</si>
  <si>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</si>
  <si>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</si>
  <si>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</si>
  <si>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</si>
  <si>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</si>
  <si>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</si>
  <si>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</si>
  <si>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</si>
  <si>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</si>
  <si>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</si>
  <si>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</si>
  <si>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</si>
  <si>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</si>
  <si>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</si>
  <si>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</si>
  <si>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</si>
  <si>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</si>
  <si>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</si>
  <si>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</si>
  <si>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</si>
  <si>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</si>
  <si>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</si>
  <si>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</si>
  <si>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</si>
  <si>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</si>
  <si>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</si>
  <si>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</si>
  <si>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</si>
  <si>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</si>
  <si>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</si>
  <si>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</si>
  <si>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</si>
  <si>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</si>
  <si>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</si>
  <si>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</si>
  <si>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</si>
  <si>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</si>
  <si>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</si>
  <si>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</si>
  <si>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</si>
  <si>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</si>
  <si>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</si>
  <si>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</si>
  <si>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</si>
  <si>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</si>
  <si>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</si>
  <si>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</si>
  <si>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</si>
  <si>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</si>
  <si>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</si>
  <si>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</si>
  <si>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</si>
  <si>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</si>
  <si>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</si>
  <si>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</si>
  <si>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</si>
  <si>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</si>
  <si>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</si>
  <si>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</si>
  <si>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</si>
  <si>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</si>
  <si>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</si>
  <si>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</si>
  <si>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</si>
  <si>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</si>
  <si>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</si>
  <si>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</si>
  <si>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</si>
  <si>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</si>
  <si>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</si>
  <si>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</si>
  <si>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</si>
  <si>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</si>
  <si>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</si>
  <si>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</si>
  <si>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</si>
  <si>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</si>
  <si>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</si>
  <si>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</si>
  <si>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</si>
  <si>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</si>
  <si>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</si>
  <si>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</si>
  <si>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</si>
  <si>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</si>
  <si>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</si>
  <si>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</si>
  <si>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</si>
  <si>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</si>
  <si>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</si>
  <si>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</si>
  <si>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</si>
  <si>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</si>
  <si>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</si>
  <si>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</si>
  <si>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</si>
  <si>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</si>
  <si>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</si>
  <si>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</si>
  <si>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</si>
  <si>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</si>
  <si>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</si>
  <si>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</si>
  <si>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</si>
  <si>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</si>
  <si>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</si>
  <si>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</si>
  <si>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</si>
  <si>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</si>
  <si>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</si>
  <si>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</si>
  <si>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</si>
  <si>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</si>
  <si>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</si>
  <si>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</si>
  <si>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</si>
  <si>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</si>
  <si>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</si>
  <si>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</si>
  <si>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</si>
  <si>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</si>
  <si>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</si>
  <si>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</si>
  <si>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</si>
  <si>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</si>
  <si>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</si>
  <si>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</si>
  <si>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</si>
  <si>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</si>
  <si>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</si>
  <si>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</si>
  <si>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</si>
  <si>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</si>
  <si>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</si>
  <si>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</si>
  <si>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</si>
  <si>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</si>
  <si>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</si>
  <si>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</si>
  <si>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</si>
  <si>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</si>
  <si>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</si>
  <si>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</si>
  <si>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</si>
  <si>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</si>
  <si>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</si>
  <si>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</si>
  <si>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</si>
  <si>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</si>
  <si>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</si>
  <si>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</si>
  <si>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</si>
  <si>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</si>
  <si>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</si>
  <si>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</si>
  <si>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</si>
  <si>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</si>
  <si>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</si>
  <si>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</si>
  <si>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</si>
  <si>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</si>
  <si>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</si>
  <si>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</si>
  <si>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</si>
  <si>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</si>
  <si>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</si>
  <si>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</si>
  <si>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</si>
  <si>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</si>
  <si>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</si>
  <si>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</si>
  <si>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</si>
  <si>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</si>
  <si>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</si>
  <si>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</si>
  <si>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</si>
  <si>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</si>
  <si>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</si>
  <si>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</si>
  <si>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</si>
  <si>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</si>
  <si>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</si>
  <si>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</si>
  <si>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</si>
  <si>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</si>
  <si>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</si>
  <si>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</si>
  <si>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</si>
  <si>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</si>
  <si>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</si>
  <si>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</si>
  <si>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</si>
  <si>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</si>
  <si>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</si>
  <si>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</si>
  <si>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</si>
  <si>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</si>
  <si>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</si>
  <si>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</si>
  <si>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</si>
  <si>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</si>
  <si>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</si>
  <si>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</si>
  <si>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</si>
  <si>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</si>
  <si>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</si>
  <si>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</si>
  <si>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</si>
  <si>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</si>
  <si>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</si>
  <si>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</si>
  <si>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</si>
  <si>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</si>
  <si>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</si>
  <si>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</si>
  <si>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</si>
  <si>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</si>
  <si>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</si>
  <si>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</si>
  <si>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</si>
  <si>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</si>
  <si>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</si>
  <si>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</si>
  <si>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</si>
  <si>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</si>
  <si>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</si>
  <si>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</si>
  <si>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</si>
  <si>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</si>
  <si>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</si>
  <si>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</si>
  <si>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</si>
  <si>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</si>
  <si>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</si>
  <si>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</si>
  <si>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</si>
  <si>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</si>
  <si>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</si>
  <si>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</si>
  <si>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</si>
  <si>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</si>
  <si>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</si>
  <si>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</si>
  <si>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</si>
  <si>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</si>
  <si>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</si>
  <si>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</si>
  <si>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</si>
  <si>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</si>
  <si>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</si>
  <si>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</si>
  <si>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</si>
  <si>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</si>
  <si>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</si>
  <si>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</si>
  <si>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</si>
  <si>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</si>
  <si>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</si>
  <si>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</si>
  <si>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</si>
  <si>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</si>
  <si>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</si>
  <si>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</si>
  <si>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</si>
  <si>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</si>
  <si>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</si>
  <si>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</si>
  <si>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</si>
  <si>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</si>
  <si>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</si>
  <si>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</si>
  <si>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</si>
  <si>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</si>
  <si>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</si>
  <si>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</si>
  <si>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</si>
  <si>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</si>
  <si>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</si>
  <si>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</si>
  <si>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</si>
  <si>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</si>
  <si>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</si>
  <si>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</si>
  <si>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</si>
  <si>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</si>
  <si>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</si>
  <si>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</si>
  <si>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</si>
  <si>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</si>
  <si>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</si>
  <si>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</si>
  <si>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</si>
  <si>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</si>
  <si>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</si>
  <si>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</si>
  <si>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</si>
  <si>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</si>
  <si>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</si>
  <si>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</si>
  <si>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</si>
  <si>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</si>
  <si>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</si>
  <si>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</si>
  <si>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</si>
  <si>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</si>
  <si>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</si>
  <si>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</si>
  <si>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</si>
  <si>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</si>
  <si>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</si>
  <si>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</si>
  <si>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</si>
  <si>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</si>
  <si>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</si>
  <si>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</si>
  <si>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</si>
  <si>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</si>
  <si>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</si>
  <si>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</si>
  <si>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</si>
  <si>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</si>
  <si>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</si>
  <si>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</si>
  <si>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</si>
  <si>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</si>
  <si>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</si>
  <si>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</si>
  <si>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</si>
  <si>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</si>
  <si>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</si>
  <si>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</si>
  <si>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</si>
  <si>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</si>
  <si>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</si>
  <si>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</si>
  <si>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</si>
  <si>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</si>
  <si>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</si>
  <si>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</si>
  <si>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</si>
  <si>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</si>
  <si>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</si>
  <si>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</si>
  <si>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</si>
  <si>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</si>
  <si>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</si>
  <si>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</si>
  <si>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</si>
  <si>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</si>
  <si>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</si>
  <si>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</si>
  <si>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</si>
  <si>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</si>
  <si>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</si>
  <si>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</si>
  <si>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</si>
  <si>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</si>
  <si>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</si>
  <si>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</si>
  <si>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</si>
  <si>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</si>
  <si>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</si>
  <si>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</si>
  <si>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</si>
  <si>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</si>
  <si>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</si>
  <si>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</si>
  <si>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</si>
  <si>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</si>
  <si>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</si>
  <si>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</si>
  <si>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</si>
  <si>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</si>
  <si>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</si>
  <si>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</si>
  <si>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</si>
  <si>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</si>
  <si>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</si>
  <si>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</si>
  <si>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</si>
  <si>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</si>
  <si>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</si>
  <si>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</si>
  <si>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</si>
  <si>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</si>
  <si>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</si>
  <si>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</si>
  <si>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</si>
  <si>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</si>
  <si>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</si>
  <si>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</si>
  <si>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</si>
  <si>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</si>
  <si>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</si>
  <si>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</si>
  <si>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</si>
  <si>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</si>
  <si>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</si>
  <si>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</si>
  <si>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</si>
  <si>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</si>
  <si>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</si>
  <si>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</si>
  <si>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</si>
  <si>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</si>
  <si>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</si>
  <si>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</si>
  <si>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</si>
  <si>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</si>
  <si>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</si>
  <si>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</si>
  <si>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</si>
  <si>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</si>
  <si>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</si>
  <si>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</si>
  <si>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</si>
  <si>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</si>
  <si>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</si>
  <si>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</si>
  <si>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</si>
  <si>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</si>
  <si>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</si>
  <si>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</si>
  <si>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</si>
  <si>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</si>
  <si>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</si>
  <si>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</si>
  <si>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</si>
  <si>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</si>
  <si>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</si>
  <si>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</si>
  <si>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</si>
  <si>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</si>
  <si>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</si>
  <si>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</si>
  <si>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</si>
  <si>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</si>
  <si>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</si>
  <si>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</si>
  <si>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</si>
  <si>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</si>
  <si>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</si>
  <si>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</si>
  <si>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</si>
  <si>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</si>
  <si>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</si>
  <si>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</si>
  <si>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</si>
  <si>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</si>
  <si>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</si>
  <si>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</si>
  <si>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</si>
  <si>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</si>
  <si>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</si>
  <si>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</si>
  <si>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</si>
  <si>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</si>
  <si>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</si>
  <si>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</si>
  <si>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</si>
  <si>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</si>
  <si>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</si>
  <si>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</si>
  <si>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</si>
  <si>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</si>
  <si>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</si>
  <si>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</si>
  <si>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</si>
  <si>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</si>
  <si>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</si>
  <si>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</si>
  <si>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</si>
  <si>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</si>
  <si>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</si>
  <si>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</si>
  <si>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</si>
  <si>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</si>
  <si>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</si>
  <si>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</si>
  <si>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</si>
  <si>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</si>
  <si>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</si>
  <si>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</si>
  <si>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</si>
  <si>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</si>
  <si>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</si>
  <si>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</si>
  <si>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</si>
  <si>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</si>
  <si>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</si>
  <si>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</si>
  <si>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</si>
  <si>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</si>
  <si>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</si>
  <si>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</si>
  <si>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</si>
  <si>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</si>
  <si>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</si>
  <si>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</si>
  <si>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</si>
  <si>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</si>
  <si>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</si>
  <si>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</si>
  <si>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</si>
  <si>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</si>
  <si>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</si>
  <si>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</si>
  <si>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</si>
  <si>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</si>
  <si>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</si>
  <si>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</si>
  <si>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</si>
  <si>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</si>
  <si>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</si>
  <si>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</si>
  <si>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</si>
  <si>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</si>
  <si>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</si>
  <si>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</si>
  <si>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</si>
  <si>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</si>
  <si>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</si>
  <si>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</si>
  <si>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</si>
  <si>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</si>
  <si>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</si>
  <si>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</si>
  <si>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</si>
  <si>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</si>
  <si>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</si>
  <si>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</si>
  <si>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</si>
  <si>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</si>
  <si>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</si>
  <si>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</si>
  <si>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</si>
  <si>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</si>
  <si>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</si>
  <si>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</si>
  <si>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</si>
  <si>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</si>
  <si>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</si>
  <si>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</si>
  <si>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</si>
  <si>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</si>
  <si>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</si>
  <si>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</si>
  <si>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</si>
  <si>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</si>
  <si>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</si>
  <si>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</si>
  <si>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</si>
  <si>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</si>
  <si>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</si>
  <si>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</si>
  <si>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</si>
  <si>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</si>
  <si>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</si>
  <si>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</si>
  <si>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</si>
  <si>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</si>
  <si>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</si>
  <si>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</si>
  <si>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</si>
  <si>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</si>
  <si>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</si>
  <si>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</si>
  <si>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</si>
  <si>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</si>
  <si>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</si>
  <si>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</si>
  <si>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</si>
  <si>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</si>
  <si>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</si>
  <si>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</si>
  <si>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</si>
  <si>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</si>
  <si>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</si>
  <si>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</si>
  <si>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</si>
  <si>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</si>
  <si>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</si>
  <si>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</si>
  <si>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</si>
  <si>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</si>
  <si>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</si>
  <si>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</si>
  <si>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</si>
  <si>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</si>
  <si>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</si>
  <si>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</si>
  <si>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</si>
  <si>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</si>
  <si>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</si>
  <si>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</si>
  <si>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</si>
  <si>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</si>
  <si>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</si>
  <si>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</si>
  <si>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</si>
  <si>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</si>
  <si>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</si>
  <si>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</si>
  <si>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</si>
  <si>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</si>
  <si>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</si>
  <si>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</si>
  <si>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</si>
  <si>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</si>
  <si>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</si>
  <si>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</si>
  <si>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</si>
  <si>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</si>
  <si>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</si>
  <si>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</si>
  <si>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</si>
  <si>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</si>
  <si>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</si>
  <si>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</si>
  <si>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</si>
  <si>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</si>
  <si>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</si>
  <si>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</si>
  <si>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</si>
  <si>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</si>
  <si>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</si>
  <si>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</si>
  <si>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</si>
  <si>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</si>
  <si>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</si>
  <si>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</si>
  <si>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</si>
  <si>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</si>
  <si>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</si>
  <si>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</si>
  <si>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</si>
  <si>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</si>
  <si>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</si>
  <si>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</si>
  <si>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</si>
  <si>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</si>
  <si>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</si>
  <si>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</si>
  <si>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</si>
  <si>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</si>
  <si>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</si>
  <si>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</si>
  <si>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</si>
  <si>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</si>
  <si>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</si>
  <si>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</si>
  <si>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</si>
  <si>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</si>
  <si>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</si>
  <si>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</si>
  <si>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</si>
  <si>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</si>
  <si>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</si>
  <si>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</si>
  <si>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</si>
  <si>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</si>
  <si>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</si>
  <si>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</si>
  <si>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</si>
  <si>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</si>
  <si>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</si>
  <si>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</si>
  <si>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</si>
  <si>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</si>
  <si>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</si>
  <si>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</si>
  <si>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</si>
  <si>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</si>
  <si>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</si>
  <si>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</si>
  <si>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</si>
  <si>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</si>
  <si>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</si>
  <si>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</si>
  <si>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</si>
  <si>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</si>
  <si>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</si>
  <si>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</si>
  <si>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</si>
  <si>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</si>
  <si>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</si>
  <si>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</si>
  <si>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</si>
  <si>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</si>
  <si>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</si>
  <si>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</si>
  <si>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</si>
  <si>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</si>
  <si>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</si>
  <si>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</si>
  <si>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</si>
  <si>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</si>
  <si>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</si>
  <si>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</si>
  <si>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</si>
  <si>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</si>
  <si>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</si>
  <si>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</si>
  <si>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</si>
  <si>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</si>
  <si>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</si>
  <si>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</si>
  <si>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</si>
  <si>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</si>
  <si>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</si>
  <si>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</si>
  <si>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</si>
  <si>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</si>
  <si>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</si>
  <si>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</si>
  <si>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</si>
  <si>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</si>
  <si>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</si>
  <si>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</si>
  <si>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</si>
  <si>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</si>
  <si>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</si>
  <si>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</si>
  <si>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</si>
  <si>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</si>
  <si>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</si>
  <si>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</si>
  <si>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</si>
  <si>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</si>
  <si>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</si>
  <si>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</si>
  <si>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</si>
  <si>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</si>
  <si>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</si>
  <si>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</si>
  <si>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</si>
  <si>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</si>
  <si>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</si>
  <si>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</si>
  <si>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</si>
  <si>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</si>
  <si>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</si>
  <si>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</si>
  <si>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</si>
  <si>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</si>
  <si>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</si>
  <si>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</si>
  <si>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</si>
  <si>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</si>
  <si>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</si>
  <si>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</si>
  <si>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</si>
  <si>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</si>
  <si>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</si>
  <si>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</si>
  <si>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</si>
  <si>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</si>
  <si>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</si>
  <si>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</si>
  <si>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</si>
  <si>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</si>
  <si>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</si>
  <si>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</si>
  <si>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</si>
  <si>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</si>
  <si>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</si>
  <si>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</si>
  <si>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</si>
  <si>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</si>
  <si>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</si>
  <si>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</si>
  <si>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</si>
  <si>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</si>
  <si>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</si>
  <si>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</si>
  <si>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</si>
  <si>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</si>
  <si>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</si>
  <si>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</si>
  <si>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</si>
  <si>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</si>
  <si>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</si>
  <si>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</si>
  <si>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</si>
  <si>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</si>
  <si>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</si>
  <si>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</si>
  <si>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</si>
  <si>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</si>
  <si>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</si>
  <si>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</si>
  <si>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</si>
  <si>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</si>
  <si>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</si>
  <si>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</si>
  <si>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</si>
  <si>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</si>
  <si>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</si>
  <si>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</si>
  <si>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</si>
  <si>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</si>
  <si>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</si>
  <si>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</si>
  <si>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</si>
  <si>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</si>
  <si>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</si>
  <si>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</si>
  <si>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</si>
  <si>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</si>
  <si>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</si>
  <si>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</si>
  <si>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</si>
  <si>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</si>
  <si>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</si>
  <si>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</si>
  <si>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</si>
  <si>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</si>
  <si>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</si>
  <si>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</si>
  <si>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</si>
  <si>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</si>
  <si>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</si>
  <si>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</si>
  <si>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</si>
  <si>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</si>
  <si>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</si>
  <si>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</si>
  <si>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</si>
  <si>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</si>
  <si>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</si>
  <si>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</si>
  <si>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</si>
  <si>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</si>
  <si>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</si>
  <si>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</si>
  <si>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</si>
  <si>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</si>
  <si>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</si>
  <si>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</si>
  <si>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</si>
  <si>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</si>
  <si>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</si>
  <si>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</si>
  <si>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</si>
  <si>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</si>
  <si>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</si>
  <si>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</si>
  <si>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</si>
  <si>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</si>
  <si>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</si>
  <si>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</si>
  <si>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</si>
  <si>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</si>
  <si>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</si>
  <si>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</si>
  <si>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</si>
  <si>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</si>
  <si>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</si>
  <si>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</si>
  <si>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</si>
  <si>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</si>
  <si>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</si>
  <si>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</si>
  <si>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</si>
  <si>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</si>
  <si>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</si>
  <si>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</si>
  <si>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</si>
  <si>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</si>
  <si>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</si>
  <si>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</si>
  <si>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</si>
  <si>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</si>
  <si>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</si>
  <si>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</si>
  <si>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</si>
  <si>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</si>
  <si>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</si>
  <si>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</si>
  <si>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</si>
  <si>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</si>
  <si>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</si>
  <si>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</si>
  <si>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</si>
  <si>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</si>
  <si>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</si>
  <si>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</si>
  <si>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</si>
  <si>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</si>
  <si>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</si>
  <si>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</si>
  <si>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</si>
  <si>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</si>
  <si>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</si>
  <si>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</si>
  <si>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</si>
  <si>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</si>
  <si>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</si>
  <si>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</si>
  <si>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</si>
  <si>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</si>
  <si>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</si>
  <si>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</si>
  <si>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</si>
  <si>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</si>
  <si>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</si>
  <si>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</si>
  <si>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</si>
  <si>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</si>
  <si>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</si>
  <si>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</si>
  <si>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</si>
  <si>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</si>
  <si>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</si>
  <si>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</si>
  <si>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</si>
  <si>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</si>
  <si>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</si>
  <si>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</si>
  <si>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</si>
  <si>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</si>
  <si>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</si>
  <si>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</si>
  <si>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</si>
  <si>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</si>
  <si>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</si>
  <si>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</si>
  <si>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</si>
  <si>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</si>
  <si>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</si>
  <si>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</si>
  <si>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</si>
  <si>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</si>
  <si>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</si>
  <si>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</si>
  <si>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</si>
  <si>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75083503725</t>
  </si>
  <si>
    <t>04214269</t>
  </si>
  <si>
    <t>110044916</t>
  </si>
  <si>
    <t>GRAČAC VODOVOD I ODVODNJA d.o.o.</t>
  </si>
  <si>
    <t>Park Sv.Jurja 1</t>
  </si>
  <si>
    <t>vodovod@gracac.hr</t>
  </si>
  <si>
    <t>023/773728</t>
  </si>
  <si>
    <t>97776963</t>
  </si>
  <si>
    <t>Gracija, obrt za knjig.usluge</t>
  </si>
  <si>
    <t>Gracijela Stura</t>
  </si>
  <si>
    <t>023/644298</t>
  </si>
  <si>
    <t>gracija.stura@gmail.com</t>
  </si>
  <si>
    <t>Marko Gale</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</si>
</sst>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 numFmtId="197" formatCode="&quot;True&quot;;&quot;True&quot;;&quot;False&quot;"/>
    <numFmt numFmtId="198" formatCode="[$¥€-2]\ #,##0.00_);[Red]\([$€-2]\ #,##0.00\)"/>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on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27" fillId="37" borderId="64"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5"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8" fillId="34" borderId="15" xfId="0" applyFont="1" applyFill="1" applyBorder="1" applyAlignment="1">
      <alignment horizontal="left" vertical="center" wrapText="1"/>
    </xf>
    <xf numFmtId="0" fontId="13" fillId="36" borderId="66" xfId="0" applyFont="1" applyFill="1" applyBorder="1" applyAlignment="1" applyProtection="1">
      <alignment horizontal="center" vertical="center" wrapText="1"/>
      <protection hidden="1"/>
    </xf>
    <xf numFmtId="0" fontId="14" fillId="36" borderId="6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7" xfId="0" applyFont="1" applyFill="1" applyBorder="1" applyAlignment="1">
      <alignment horizontal="center" vertical="center" wrapText="1"/>
    </xf>
    <xf numFmtId="0" fontId="27" fillId="38" borderId="65"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4"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4"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5"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5"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7"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199571.82</v>
      </c>
      <c r="I3" s="31">
        <f>ABS(ROUND(J3,0)-J3)+ABS(ROUND(K3,0)-K3)</f>
        <v>0</v>
      </c>
      <c r="J3" s="31">
        <f>Bilanca!I10</f>
        <v>2936355</v>
      </c>
      <c r="K3" s="31">
        <f>Bilanca!J10</f>
        <v>3521118</v>
      </c>
    </row>
    <row r="4" spans="1:11" ht="12.75">
      <c r="A4" s="4" t="s">
        <v>1088</v>
      </c>
      <c r="B4" s="29" t="s">
        <v>1888</v>
      </c>
      <c r="D4" s="4" t="s">
        <v>1521</v>
      </c>
      <c r="E4" s="4">
        <v>1</v>
      </c>
      <c r="F4" s="4">
        <f>Bilanca!G11</f>
        <v>3</v>
      </c>
      <c r="G4" s="4">
        <f>IF(Bilanca!H11=0,"",Bilanca!H11)</f>
      </c>
      <c r="H4" s="30">
        <f>J4/100*F4+2*K4/100*F4</f>
        <v>40217.58</v>
      </c>
      <c r="I4" s="31">
        <f>ABS(ROUND(J4,0)-J4)+ABS(ROUND(K4,0)-K4)</f>
        <v>0</v>
      </c>
      <c r="J4" s="31">
        <f>Bilanca!I11</f>
        <v>790122</v>
      </c>
      <c r="K4" s="31">
        <f>Bilanca!J11</f>
        <v>275232</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04214269</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110044916</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75083503725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GRAČAC VODOVOD I ODVODNJA d.o.o.</v>
      </c>
      <c r="D9" s="4" t="s">
        <v>1521</v>
      </c>
      <c r="E9" s="4">
        <v>1</v>
      </c>
      <c r="F9" s="4">
        <f>Bilanca!G16</f>
        <v>8</v>
      </c>
      <c r="G9" s="4">
        <f>IF(Bilanca!H16=0,"",Bilanca!H16)</f>
      </c>
      <c r="H9" s="30">
        <f t="shared" si="0"/>
        <v>3600</v>
      </c>
      <c r="I9" s="31">
        <f t="shared" si="1"/>
        <v>0</v>
      </c>
      <c r="J9" s="31">
        <f>Bilanca!I16</f>
        <v>15000</v>
      </c>
      <c r="K9" s="31">
        <f>Bilanca!J16</f>
        <v>15000</v>
      </c>
    </row>
    <row r="10" spans="1:11" ht="12.75">
      <c r="A10" s="4" t="s">
        <v>2355</v>
      </c>
      <c r="B10" s="29" t="str">
        <f>TEXT(RefStr!C31,"00000")</f>
        <v>23440</v>
      </c>
      <c r="D10" s="4" t="s">
        <v>1521</v>
      </c>
      <c r="E10" s="4">
        <v>1</v>
      </c>
      <c r="F10" s="4">
        <f>Bilanca!G17</f>
        <v>9</v>
      </c>
      <c r="G10" s="4">
        <f>IF(Bilanca!H17=0,"",Bilanca!H17)</f>
      </c>
      <c r="H10" s="30">
        <f t="shared" si="0"/>
        <v>116602.73999999999</v>
      </c>
      <c r="I10" s="31">
        <f t="shared" si="1"/>
        <v>0</v>
      </c>
      <c r="J10" s="31">
        <f>Bilanca!I17</f>
        <v>775122</v>
      </c>
      <c r="K10" s="31">
        <f>Bilanca!J17</f>
        <v>260232</v>
      </c>
    </row>
    <row r="11" spans="1:11" ht="12.75">
      <c r="A11" s="4" t="s">
        <v>2356</v>
      </c>
      <c r="B11" s="29" t="str">
        <f>TRIM(RefStr!F31)</f>
        <v>Gračac</v>
      </c>
      <c r="D11" s="4" t="s">
        <v>1521</v>
      </c>
      <c r="E11" s="4">
        <v>1</v>
      </c>
      <c r="F11" s="4">
        <f>Bilanca!G18</f>
        <v>10</v>
      </c>
      <c r="G11" s="4">
        <f>IF(Bilanca!H18=0,"",Bilanca!H18)</f>
      </c>
      <c r="H11" s="30">
        <f t="shared" si="0"/>
        <v>863800.5</v>
      </c>
      <c r="I11" s="31">
        <f t="shared" si="1"/>
        <v>0</v>
      </c>
      <c r="J11" s="31">
        <f>Bilanca!I18</f>
        <v>2146233</v>
      </c>
      <c r="K11" s="31">
        <f>Bilanca!J18</f>
        <v>3245886</v>
      </c>
    </row>
    <row r="12" spans="1:11" ht="12.75">
      <c r="A12" s="4" t="s">
        <v>2357</v>
      </c>
      <c r="B12" s="29" t="str">
        <f>TRIM(RefStr!C33)</f>
        <v>Park Sv.Jurja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vodovod@gracac.hr</v>
      </c>
      <c r="D13" s="4" t="s">
        <v>1521</v>
      </c>
      <c r="E13" s="4">
        <v>1</v>
      </c>
      <c r="F13" s="4">
        <f>Bilanca!G20</f>
        <v>12</v>
      </c>
      <c r="G13" s="4">
        <f>IF(Bilanca!H20=0,"",Bilanca!H20)</f>
      </c>
      <c r="H13" s="30">
        <f t="shared" si="0"/>
        <v>139714.32</v>
      </c>
      <c r="I13" s="31">
        <f t="shared" si="1"/>
        <v>0</v>
      </c>
      <c r="J13" s="31">
        <f>Bilanca!I20</f>
        <v>404112</v>
      </c>
      <c r="K13" s="31">
        <f>Bilanca!J20</f>
        <v>380087</v>
      </c>
    </row>
    <row r="14" spans="1:11" ht="12.75">
      <c r="A14" s="4" t="s">
        <v>1194</v>
      </c>
      <c r="B14" s="29">
        <f>TRIM(RefStr!C37)</f>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13</v>
      </c>
      <c r="D15" s="4" t="s">
        <v>1521</v>
      </c>
      <c r="E15" s="4">
        <v>1</v>
      </c>
      <c r="F15" s="4">
        <f>Bilanca!G22</f>
        <v>14</v>
      </c>
      <c r="G15" s="4">
        <f>IF(Bilanca!H22=0,"",Bilanca!H22)</f>
      </c>
      <c r="H15" s="30">
        <f t="shared" si="0"/>
        <v>1046320.6600000001</v>
      </c>
      <c r="I15" s="31">
        <f t="shared" si="1"/>
        <v>0</v>
      </c>
      <c r="J15" s="31">
        <f>Bilanca!I22</f>
        <v>1742121</v>
      </c>
      <c r="K15" s="31">
        <f>Bilanca!J22</f>
        <v>2865799</v>
      </c>
    </row>
    <row r="16" spans="1:11" ht="12.75">
      <c r="A16" s="4" t="s">
        <v>2359</v>
      </c>
      <c r="B16" s="29" t="str">
        <f>TEXT(RefStr!C39,"000")</f>
        <v>131</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97776963</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Gracija, obrt za knjig.usluge</v>
      </c>
      <c r="D38" s="4" t="s">
        <v>1521</v>
      </c>
      <c r="E38" s="4">
        <v>1</v>
      </c>
      <c r="F38" s="4">
        <f>Bilanca!G45</f>
        <v>37</v>
      </c>
      <c r="G38" s="4">
        <f>IF(Bilanca!H45=0,"",Bilanca!H45)</f>
      </c>
      <c r="H38" s="30">
        <f t="shared" si="0"/>
        <v>1518682.02</v>
      </c>
      <c r="I38" s="31">
        <f t="shared" si="1"/>
        <v>0</v>
      </c>
      <c r="J38" s="31">
        <f>Bilanca!I45</f>
        <v>978928</v>
      </c>
      <c r="K38" s="31">
        <f>Bilanca!J45</f>
        <v>1562809</v>
      </c>
    </row>
    <row r="39" spans="1:11" ht="12.75">
      <c r="A39" s="4" t="s">
        <v>1216</v>
      </c>
      <c r="B39" s="29" t="str">
        <f>RefStr!C68</f>
        <v>Gracijela Stura</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023/644298</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gracija.stura@gmail.com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Marko Gale</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1686587.24</v>
      </c>
      <c r="I47" s="31">
        <f t="shared" si="3"/>
        <v>0</v>
      </c>
      <c r="J47" s="31">
        <f>Bilanca!I54</f>
        <v>878580</v>
      </c>
      <c r="K47" s="31">
        <f>Bilanca!J54</f>
        <v>1393957</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1728149.15</v>
      </c>
      <c r="I50" s="31">
        <f t="shared" si="3"/>
        <v>0</v>
      </c>
      <c r="J50" s="31">
        <f>Bilanca!I57</f>
        <v>829885</v>
      </c>
      <c r="K50" s="31">
        <f>Bilanca!J57</f>
        <v>1348475</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68836.73999999999</v>
      </c>
      <c r="I52" s="31">
        <f t="shared" si="3"/>
        <v>0</v>
      </c>
      <c r="J52" s="31">
        <f>Bilanca!I59</f>
        <v>44396</v>
      </c>
      <c r="K52" s="31">
        <f>Bilanca!J59</f>
        <v>45289</v>
      </c>
    </row>
    <row r="53" spans="1:11" ht="12.75">
      <c r="A53" s="4" t="s">
        <v>532</v>
      </c>
      <c r="B53" s="29" t="str">
        <f>RefStr!I56</f>
        <v>DA</v>
      </c>
      <c r="D53" s="4" t="s">
        <v>1521</v>
      </c>
      <c r="E53" s="4">
        <v>1</v>
      </c>
      <c r="F53" s="4">
        <f>Bilanca!G60</f>
        <v>52</v>
      </c>
      <c r="G53" s="4">
        <f>IF(Bilanca!H60=0,"",Bilanca!H60)</f>
      </c>
      <c r="H53" s="30">
        <f t="shared" si="2"/>
        <v>2436.2</v>
      </c>
      <c r="I53" s="31">
        <f t="shared" si="3"/>
        <v>0</v>
      </c>
      <c r="J53" s="31">
        <f>Bilanca!I60</f>
        <v>4299</v>
      </c>
      <c r="K53" s="31">
        <f>Bilanca!J60</f>
        <v>193</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948245118.0200001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275972.76</v>
      </c>
      <c r="I64" s="31">
        <f t="shared" si="3"/>
        <v>0</v>
      </c>
      <c r="J64" s="31">
        <f>Bilanca!I71</f>
        <v>100348</v>
      </c>
      <c r="K64" s="31">
        <f>Bilanca!J71</f>
        <v>168852</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9154039.05</v>
      </c>
      <c r="I66" s="31">
        <f t="shared" si="3"/>
        <v>0</v>
      </c>
      <c r="J66" s="31">
        <f>Bilanca!I73</f>
        <v>3915283</v>
      </c>
      <c r="K66" s="31">
        <f>Bilanca!J73</f>
        <v>5083927</v>
      </c>
    </row>
    <row r="67" spans="1:11" ht="12.75">
      <c r="A67" s="4" t="s">
        <v>689</v>
      </c>
      <c r="B67" s="29" t="str">
        <f>RefStr!L35</f>
        <v>023/773728</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2087145.81</v>
      </c>
      <c r="I68" s="31">
        <f t="shared" si="3"/>
        <v>0</v>
      </c>
      <c r="J68" s="31">
        <f>Bilanca!I76</f>
        <v>931085</v>
      </c>
      <c r="K68" s="31">
        <f>Bilanca!J76</f>
        <v>1092029</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2182019.31</v>
      </c>
      <c r="I82" s="31">
        <f t="shared" si="3"/>
        <v>0</v>
      </c>
      <c r="J82" s="31">
        <f>Bilanca!I90</f>
        <v>871681</v>
      </c>
      <c r="K82" s="31">
        <f>Bilanca!J90</f>
        <v>911085</v>
      </c>
    </row>
    <row r="83" spans="4:11" ht="12.75">
      <c r="D83" s="4" t="s">
        <v>1521</v>
      </c>
      <c r="E83" s="4">
        <v>1</v>
      </c>
      <c r="F83" s="4">
        <f>Bilanca!G91</f>
        <v>82</v>
      </c>
      <c r="G83" s="4">
        <f>IF(Bilanca!H91=0,"",Bilanca!H91)</f>
      </c>
      <c r="H83" s="30">
        <f t="shared" si="2"/>
        <v>2208957.8200000003</v>
      </c>
      <c r="I83" s="31">
        <f t="shared" si="3"/>
        <v>0</v>
      </c>
      <c r="J83" s="31">
        <f>Bilanca!I91</f>
        <v>871681</v>
      </c>
      <c r="K83" s="31">
        <f>Bilanca!J91</f>
        <v>911085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303485.27999999997</v>
      </c>
      <c r="I85" s="31">
        <f>ABS(ROUND(J85,0)-J85)+ABS(ROUND(K85,0)-K85)</f>
        <v>0</v>
      </c>
      <c r="J85" s="31">
        <f>Bilanca!I93</f>
        <v>39404</v>
      </c>
      <c r="K85" s="31">
        <f>Bilanca!J93</f>
        <v>160944</v>
      </c>
    </row>
    <row r="86" spans="4:11" ht="12.75">
      <c r="D86" s="4" t="s">
        <v>1521</v>
      </c>
      <c r="E86" s="4">
        <v>1</v>
      </c>
      <c r="F86" s="4">
        <f>Bilanca!G94</f>
        <v>85</v>
      </c>
      <c r="G86" s="4">
        <f>IF(Bilanca!H94=0,"",Bilanca!H94)</f>
      </c>
      <c r="H86" s="30">
        <f>J86/100*F86+2*K86/100*F86</f>
        <v>307098.2</v>
      </c>
      <c r="I86" s="31">
        <f>ABS(ROUND(J86,0)-J86)+ABS(ROUND(K86,0)-K86)</f>
        <v>0</v>
      </c>
      <c r="J86" s="31">
        <f>Bilanca!I94</f>
        <v>39404</v>
      </c>
      <c r="K86" s="31">
        <f>Bilanca!J94</f>
        <v>160944</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928997.5399999999</v>
      </c>
      <c r="I108" s="31">
        <f t="shared" si="5"/>
        <v>0</v>
      </c>
      <c r="J108" s="31">
        <f>Bilanca!I116</f>
        <v>122764</v>
      </c>
      <c r="K108" s="31">
        <f>Bilanca!J116</f>
        <v>372729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287646.05</v>
      </c>
      <c r="I116" s="31">
        <f t="shared" si="5"/>
        <v>0</v>
      </c>
      <c r="J116" s="31">
        <f>Bilanca!I124</f>
        <v>19955</v>
      </c>
      <c r="K116" s="31">
        <f>Bilanca!J124</f>
        <v>115086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229541.13</v>
      </c>
      <c r="I118" s="31">
        <f t="shared" si="5"/>
        <v>0</v>
      </c>
      <c r="J118" s="31">
        <f>Bilanca!I126</f>
        <v>68669</v>
      </c>
      <c r="K118" s="31">
        <f>Bilanca!J126</f>
        <v>63760</v>
      </c>
    </row>
    <row r="119" spans="4:11" ht="12.75">
      <c r="D119" s="4" t="s">
        <v>1521</v>
      </c>
      <c r="E119" s="4">
        <v>1</v>
      </c>
      <c r="F119" s="4">
        <f>Bilanca!G127</f>
        <v>118</v>
      </c>
      <c r="G119" s="4">
        <f>IF(Bilanca!H127=0,"",Bilanca!H127)</f>
      </c>
      <c r="H119" s="30">
        <f t="shared" si="4"/>
        <v>497849.08</v>
      </c>
      <c r="I119" s="31">
        <f t="shared" si="5"/>
        <v>0</v>
      </c>
      <c r="J119" s="31">
        <f>Bilanca!I127</f>
        <v>34140</v>
      </c>
      <c r="K119" s="31">
        <f>Bilanca!J127</f>
        <v>193883</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12321721.840000002</v>
      </c>
      <c r="I123" s="31">
        <f t="shared" si="5"/>
        <v>0</v>
      </c>
      <c r="J123" s="31">
        <f>Bilanca!I131</f>
        <v>2861434</v>
      </c>
      <c r="K123" s="31">
        <f>Bilanca!J131</f>
        <v>3619169</v>
      </c>
    </row>
    <row r="124" spans="4:11" ht="12.75">
      <c r="D124" s="4" t="s">
        <v>1521</v>
      </c>
      <c r="E124" s="4">
        <v>1</v>
      </c>
      <c r="F124" s="4">
        <f>Bilanca!G132</f>
        <v>123</v>
      </c>
      <c r="G124" s="4">
        <f>IF(Bilanca!H132=0,"",Bilanca!H132)</f>
      </c>
      <c r="H124" s="30">
        <f t="shared" si="4"/>
        <v>17322258.509999998</v>
      </c>
      <c r="I124" s="31">
        <f t="shared" si="5"/>
        <v>0</v>
      </c>
      <c r="J124" s="31">
        <f>Bilanca!I132</f>
        <v>3915283</v>
      </c>
      <c r="K124" s="31">
        <f>Bilanca!J132</f>
        <v>5083927</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11063823.75</v>
      </c>
      <c r="I126" s="4">
        <f t="shared" si="5"/>
        <v>0</v>
      </c>
      <c r="J126" s="31">
        <f>RDG!I8</f>
        <v>2595379</v>
      </c>
      <c r="K126" s="31">
        <f>RDG!J8</f>
        <v>3127840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7052567.81</v>
      </c>
      <c r="I128" s="4">
        <f aca="true" t="shared" si="7" ref="I128:I190">ABS(ROUND(J128,0)-J128)+ABS(ROUND(K128,0)-K128)</f>
        <v>0</v>
      </c>
      <c r="J128" s="31">
        <f>RDG!I10</f>
        <v>1705569</v>
      </c>
      <c r="K128" s="31">
        <f>RDG!J10</f>
        <v>1923817</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4287212.8</v>
      </c>
      <c r="I131" s="4">
        <f t="shared" si="7"/>
        <v>0</v>
      </c>
      <c r="J131" s="31">
        <f>RDG!I13</f>
        <v>889810</v>
      </c>
      <c r="K131" s="31">
        <f>RDG!J13</f>
        <v>1204023</v>
      </c>
    </row>
    <row r="132" spans="4:11" ht="12.75">
      <c r="D132" s="4" t="s">
        <v>541</v>
      </c>
      <c r="E132" s="4">
        <v>2</v>
      </c>
      <c r="F132" s="4">
        <f>RDG!G14</f>
        <v>131</v>
      </c>
      <c r="G132" s="4">
        <f>IF(RDG!H14=0,"",RDG!H14)</f>
      </c>
      <c r="H132" s="30">
        <f t="shared" si="6"/>
        <v>11039516.719999999</v>
      </c>
      <c r="I132" s="4">
        <f t="shared" si="7"/>
        <v>0</v>
      </c>
      <c r="J132" s="31">
        <f>RDG!I14</f>
        <v>2536294</v>
      </c>
      <c r="K132" s="31">
        <f>RDG!J14</f>
        <v>2945409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1990450.0699999998</v>
      </c>
      <c r="I134" s="4">
        <f t="shared" si="7"/>
        <v>0</v>
      </c>
      <c r="J134" s="31">
        <f>RDG!I16</f>
        <v>461769</v>
      </c>
      <c r="K134" s="31">
        <f>RDG!J16</f>
        <v>517405</v>
      </c>
    </row>
    <row r="135" spans="4:11" ht="12.75">
      <c r="D135" s="4" t="s">
        <v>541</v>
      </c>
      <c r="E135" s="4">
        <v>2</v>
      </c>
      <c r="F135" s="4">
        <f>RDG!G17</f>
        <v>134</v>
      </c>
      <c r="G135" s="4">
        <f>IF(RDG!H17=0,"",RDG!H17)</f>
      </c>
      <c r="H135" s="30">
        <f t="shared" si="6"/>
        <v>725626.08</v>
      </c>
      <c r="I135" s="4">
        <f t="shared" si="7"/>
        <v>0</v>
      </c>
      <c r="J135" s="31">
        <f>RDG!I17</f>
        <v>189880</v>
      </c>
      <c r="K135" s="31">
        <f>RDG!J17</f>
        <v>175816</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1298891.1199999999</v>
      </c>
      <c r="I137" s="4">
        <f t="shared" si="7"/>
        <v>0</v>
      </c>
      <c r="J137" s="31">
        <f>RDG!I19</f>
        <v>271889</v>
      </c>
      <c r="K137" s="31">
        <f>RDG!J19</f>
        <v>341589</v>
      </c>
    </row>
    <row r="138" spans="4:11" ht="12.75">
      <c r="D138" s="4" t="s">
        <v>541</v>
      </c>
      <c r="E138" s="4">
        <v>2</v>
      </c>
      <c r="F138" s="4">
        <f>RDG!G20</f>
        <v>137</v>
      </c>
      <c r="G138" s="4">
        <f>IF(RDG!H20=0,"",RDG!H20)</f>
      </c>
      <c r="H138" s="30">
        <f t="shared" si="6"/>
        <v>4560784.8</v>
      </c>
      <c r="I138" s="4">
        <f t="shared" si="7"/>
        <v>0</v>
      </c>
      <c r="J138" s="31">
        <f>RDG!I20</f>
        <v>1102840</v>
      </c>
      <c r="K138" s="31">
        <f>RDG!J20</f>
        <v>1113100</v>
      </c>
    </row>
    <row r="139" spans="4:11" ht="12.75">
      <c r="D139" s="4" t="s">
        <v>541</v>
      </c>
      <c r="E139" s="4">
        <v>2</v>
      </c>
      <c r="F139" s="4">
        <f>RDG!G21</f>
        <v>138</v>
      </c>
      <c r="G139" s="4">
        <f>IF(RDG!H21=0,"",RDG!H21)</f>
      </c>
      <c r="H139" s="30">
        <f t="shared" si="6"/>
        <v>3212457.84</v>
      </c>
      <c r="I139" s="4">
        <f t="shared" si="7"/>
        <v>0</v>
      </c>
      <c r="J139" s="31">
        <f>RDG!I21</f>
        <v>764854</v>
      </c>
      <c r="K139" s="31">
        <f>RDG!J21</f>
        <v>781507</v>
      </c>
    </row>
    <row r="140" spans="4:11" ht="12.75">
      <c r="D140" s="4" t="s">
        <v>541</v>
      </c>
      <c r="E140" s="4">
        <v>2</v>
      </c>
      <c r="F140" s="4">
        <f>RDG!G22</f>
        <v>139</v>
      </c>
      <c r="G140" s="4">
        <f>IF(RDG!H22=0,"",RDG!H22)</f>
      </c>
      <c r="H140" s="30">
        <f t="shared" si="6"/>
        <v>891033.0900000001</v>
      </c>
      <c r="I140" s="4">
        <f t="shared" si="7"/>
        <v>0</v>
      </c>
      <c r="J140" s="31">
        <f>RDG!I22</f>
        <v>216229</v>
      </c>
      <c r="K140" s="31">
        <f>RDG!J22</f>
        <v>212401</v>
      </c>
    </row>
    <row r="141" spans="4:11" ht="12.75">
      <c r="D141" s="4" t="s">
        <v>541</v>
      </c>
      <c r="E141" s="4">
        <v>2</v>
      </c>
      <c r="F141" s="4">
        <f>RDG!G23</f>
        <v>140</v>
      </c>
      <c r="G141" s="4">
        <f>IF(RDG!H23=0,"",RDG!H23)</f>
      </c>
      <c r="H141" s="30">
        <f t="shared" si="6"/>
        <v>504197.4</v>
      </c>
      <c r="I141" s="4">
        <f t="shared" si="7"/>
        <v>0</v>
      </c>
      <c r="J141" s="31">
        <f>RDG!I23</f>
        <v>121757</v>
      </c>
      <c r="K141" s="31">
        <f>RDG!J23</f>
        <v>119192</v>
      </c>
    </row>
    <row r="142" spans="4:11" ht="12.75">
      <c r="D142" s="4" t="s">
        <v>541</v>
      </c>
      <c r="E142" s="4">
        <v>2</v>
      </c>
      <c r="F142" s="4">
        <f>RDG!G24</f>
        <v>141</v>
      </c>
      <c r="G142" s="4">
        <f>IF(RDG!H24=0,"",RDG!H24)</f>
      </c>
      <c r="H142" s="30">
        <f t="shared" si="6"/>
        <v>4365058.26</v>
      </c>
      <c r="I142" s="4">
        <f t="shared" si="7"/>
        <v>0</v>
      </c>
      <c r="J142" s="31">
        <f>RDG!I24</f>
        <v>812698</v>
      </c>
      <c r="K142" s="31">
        <f>RDG!J24</f>
        <v>1141544</v>
      </c>
    </row>
    <row r="143" spans="4:11" ht="12.75">
      <c r="D143" s="4" t="s">
        <v>541</v>
      </c>
      <c r="E143" s="4">
        <v>2</v>
      </c>
      <c r="F143" s="4">
        <f>RDG!G25</f>
        <v>142</v>
      </c>
      <c r="G143" s="4">
        <f>IF(RDG!H25=0,"",RDG!H25)</f>
      </c>
      <c r="H143" s="30">
        <f t="shared" si="6"/>
        <v>225761.53999999998</v>
      </c>
      <c r="I143" s="4">
        <f t="shared" si="7"/>
        <v>0</v>
      </c>
      <c r="J143" s="31">
        <f>RDG!I25</f>
        <v>158987</v>
      </c>
      <c r="K143" s="31">
        <f>RDG!J25</f>
        <v>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530481.6</v>
      </c>
      <c r="I154" s="4">
        <f t="shared" si="7"/>
        <v>0</v>
      </c>
      <c r="J154" s="31">
        <f>RDG!I36</f>
        <v>0</v>
      </c>
      <c r="K154" s="31">
        <f>RDG!J36</f>
        <v>173360</v>
      </c>
    </row>
    <row r="155" spans="4:11" ht="12.75">
      <c r="D155" s="4" t="s">
        <v>541</v>
      </c>
      <c r="E155" s="4">
        <v>2</v>
      </c>
      <c r="F155" s="4">
        <f>RDG!G37</f>
        <v>154</v>
      </c>
      <c r="G155" s="4">
        <f>IF(RDG!H37=0,"",RDG!H37)</f>
      </c>
      <c r="H155" s="30">
        <f t="shared" si="6"/>
        <v>8841.140000000001</v>
      </c>
      <c r="I155" s="4">
        <f t="shared" si="7"/>
        <v>0</v>
      </c>
      <c r="J155" s="31">
        <f>RDG!I37</f>
        <v>2385</v>
      </c>
      <c r="K155" s="31">
        <f>RDG!J37</f>
        <v>1678</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3535.5600000000004</v>
      </c>
      <c r="I162" s="4">
        <f t="shared" si="7"/>
        <v>0</v>
      </c>
      <c r="J162" s="31">
        <f>RDG!I44</f>
        <v>1580</v>
      </c>
      <c r="K162" s="31">
        <f>RDG!J44</f>
        <v>308</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5813.799999999999</v>
      </c>
      <c r="I165" s="4">
        <f t="shared" si="7"/>
        <v>0</v>
      </c>
      <c r="J165" s="31">
        <f>RDG!I47</f>
        <v>805</v>
      </c>
      <c r="K165" s="31">
        <f>RDG!J47</f>
        <v>1370</v>
      </c>
    </row>
    <row r="166" spans="4:11" ht="12.75">
      <c r="D166" s="4" t="s">
        <v>541</v>
      </c>
      <c r="E166" s="4">
        <v>2</v>
      </c>
      <c r="F166" s="4">
        <f>RDG!G48</f>
        <v>165</v>
      </c>
      <c r="G166" s="4">
        <f>IF(RDG!H48=0,"",RDG!H48)</f>
      </c>
      <c r="H166" s="30">
        <f t="shared" si="6"/>
        <v>25504.050000000003</v>
      </c>
      <c r="I166" s="4">
        <f t="shared" si="7"/>
        <v>0</v>
      </c>
      <c r="J166" s="31">
        <f>RDG!I48</f>
        <v>15021</v>
      </c>
      <c r="K166" s="31">
        <f>RDG!J48</f>
        <v>218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767.76</v>
      </c>
      <c r="I169" s="4">
        <f t="shared" si="7"/>
        <v>0</v>
      </c>
      <c r="J169" s="31">
        <f>RDG!I51</f>
        <v>21</v>
      </c>
      <c r="K169" s="31">
        <f>RDG!J51</f>
        <v>218</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2388.87</v>
      </c>
      <c r="I172" s="4">
        <f t="shared" si="7"/>
        <v>0</v>
      </c>
      <c r="J172" s="31">
        <f>RDG!I54</f>
        <v>1397</v>
      </c>
      <c r="K172" s="31">
        <f>RDG!J54</f>
        <v>0</v>
      </c>
    </row>
    <row r="173" spans="4:11" ht="12.75">
      <c r="D173" s="4" t="s">
        <v>541</v>
      </c>
      <c r="E173" s="4">
        <v>2</v>
      </c>
      <c r="F173" s="4">
        <f>RDG!G55</f>
        <v>172</v>
      </c>
      <c r="G173" s="4">
        <f>IF(RDG!H55=0,"",RDG!H55)</f>
      </c>
      <c r="H173" s="30">
        <f t="shared" si="6"/>
        <v>23397.16</v>
      </c>
      <c r="I173" s="4">
        <f t="shared" si="7"/>
        <v>0</v>
      </c>
      <c r="J173" s="31">
        <f>RDG!I55</f>
        <v>13603</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15676536</v>
      </c>
      <c r="I178" s="4">
        <f t="shared" si="7"/>
        <v>0</v>
      </c>
      <c r="J178" s="31">
        <f>RDG!I60</f>
        <v>2597764</v>
      </c>
      <c r="K178" s="31">
        <f>RDG!J60</f>
        <v>3129518</v>
      </c>
    </row>
    <row r="179" spans="4:11" ht="12.75">
      <c r="D179" s="4" t="s">
        <v>541</v>
      </c>
      <c r="E179" s="4">
        <v>2</v>
      </c>
      <c r="F179" s="4">
        <f>RDG!G61</f>
        <v>178</v>
      </c>
      <c r="G179" s="4">
        <f>IF(RDG!H61=0,"",RDG!H61)</f>
      </c>
      <c r="H179" s="30">
        <f t="shared" si="6"/>
        <v>15027772.82</v>
      </c>
      <c r="I179" s="4">
        <f t="shared" si="7"/>
        <v>0</v>
      </c>
      <c r="J179" s="31">
        <f>RDG!I61</f>
        <v>2551315</v>
      </c>
      <c r="K179" s="31">
        <f>RDG!J61</f>
        <v>2945627</v>
      </c>
    </row>
    <row r="180" spans="4:11" ht="12.75">
      <c r="D180" s="4" t="s">
        <v>541</v>
      </c>
      <c r="E180" s="4">
        <v>2</v>
      </c>
      <c r="F180" s="4">
        <f>RDG!G62</f>
        <v>179</v>
      </c>
      <c r="G180" s="4">
        <f>IF(RDG!H62=0,"",RDG!H62)</f>
      </c>
      <c r="H180" s="30">
        <f t="shared" si="6"/>
        <v>741473.49</v>
      </c>
      <c r="I180" s="4">
        <f t="shared" si="7"/>
        <v>0</v>
      </c>
      <c r="J180" s="31">
        <f>RDG!I62</f>
        <v>46449</v>
      </c>
      <c r="K180" s="31">
        <f>RDG!J62</f>
        <v>183891</v>
      </c>
    </row>
    <row r="181" spans="4:11" ht="12.75">
      <c r="D181" s="4" t="s">
        <v>541</v>
      </c>
      <c r="E181" s="4">
        <v>2</v>
      </c>
      <c r="F181" s="4">
        <f>RDG!G63</f>
        <v>180</v>
      </c>
      <c r="G181" s="4">
        <f>IF(RDG!H63=0,"",RDG!H63)</f>
      </c>
      <c r="H181" s="30">
        <f t="shared" si="6"/>
        <v>745615.7999999999</v>
      </c>
      <c r="I181" s="4">
        <f t="shared" si="7"/>
        <v>0</v>
      </c>
      <c r="J181" s="31">
        <f>RDG!I63</f>
        <v>46449</v>
      </c>
      <c r="K181" s="31">
        <f>RDG!J63</f>
        <v>183891</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96348.98</v>
      </c>
      <c r="I183" s="4">
        <f t="shared" si="7"/>
        <v>0</v>
      </c>
      <c r="J183" s="31">
        <f>RDG!I65</f>
        <v>7045</v>
      </c>
      <c r="K183" s="31">
        <f>RDG!J65</f>
        <v>22947</v>
      </c>
    </row>
    <row r="184" spans="4:11" ht="12.75">
      <c r="D184" s="4" t="s">
        <v>541</v>
      </c>
      <c r="E184" s="4">
        <v>2</v>
      </c>
      <c r="F184" s="4">
        <f>RDG!G66</f>
        <v>183</v>
      </c>
      <c r="G184" s="4">
        <f>IF(RDG!H66=0,"",RDG!H66)</f>
      </c>
      <c r="H184" s="30">
        <f t="shared" si="6"/>
        <v>661164.3600000001</v>
      </c>
      <c r="I184" s="4">
        <f t="shared" si="7"/>
        <v>0</v>
      </c>
      <c r="J184" s="31">
        <f>RDG!I66</f>
        <v>39404</v>
      </c>
      <c r="K184" s="31">
        <f>RDG!J66</f>
        <v>160944</v>
      </c>
    </row>
    <row r="185" spans="4:11" ht="12.75">
      <c r="D185" s="4" t="s">
        <v>541</v>
      </c>
      <c r="E185" s="4">
        <v>2</v>
      </c>
      <c r="F185" s="4">
        <f>RDG!G67</f>
        <v>184</v>
      </c>
      <c r="G185" s="4">
        <f>IF(RDG!H67=0,"",RDG!H67)</f>
      </c>
      <c r="H185" s="30">
        <f t="shared" si="6"/>
        <v>664777.28</v>
      </c>
      <c r="I185" s="4">
        <f t="shared" si="7"/>
        <v>0</v>
      </c>
      <c r="J185" s="31">
        <f>RDG!I67</f>
        <v>39404</v>
      </c>
      <c r="K185" s="31">
        <f>RDG!J67</f>
        <v>160944</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12827898.93</v>
      </c>
      <c r="I232" s="4">
        <f t="shared" si="11"/>
        <v>0</v>
      </c>
      <c r="J232" s="31">
        <f>Dodatni!I25</f>
        <v>1705569</v>
      </c>
      <c r="K232" s="31">
        <f>Dodatni!J25</f>
        <v>1923817</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13438751.259999998</v>
      </c>
      <c r="I243" s="4">
        <f t="shared" si="11"/>
        <v>0</v>
      </c>
      <c r="J243" s="31">
        <f>Dodatni!I37</f>
        <v>1705569</v>
      </c>
      <c r="K243" s="31">
        <f>Dodatni!J37</f>
        <v>1923817</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363033.72</v>
      </c>
      <c r="I253" s="4">
        <f t="shared" si="11"/>
        <v>0</v>
      </c>
      <c r="J253" s="31">
        <f>Dodatni!I50</f>
        <v>47911</v>
      </c>
      <c r="K253" s="31">
        <f>Dodatni!J50</f>
        <v>48075</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45902.4</v>
      </c>
      <c r="I263" s="4">
        <f t="shared" si="11"/>
        <v>0</v>
      </c>
      <c r="J263" s="31">
        <f>Dodatni!I60</f>
        <v>6150</v>
      </c>
      <c r="K263" s="31">
        <f>Dodatni!J60</f>
        <v>5685</v>
      </c>
    </row>
    <row r="264" spans="4:11" ht="12.75">
      <c r="D264" s="4" t="s">
        <v>1522</v>
      </c>
      <c r="E264" s="4">
        <v>3</v>
      </c>
      <c r="F264" s="4">
        <f>Dodatni!H61</f>
        <v>263</v>
      </c>
      <c r="H264" s="30">
        <f t="shared" si="10"/>
        <v>46077.600000000006</v>
      </c>
      <c r="I264" s="4">
        <f t="shared" si="11"/>
        <v>0</v>
      </c>
      <c r="J264" s="31">
        <f>Dodatni!I61</f>
        <v>6150</v>
      </c>
      <c r="K264" s="31">
        <f>Dodatni!J61</f>
        <v>5685</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996700.3200000001</v>
      </c>
      <c r="I268" s="4">
        <f t="shared" si="11"/>
        <v>0</v>
      </c>
      <c r="J268" s="31">
        <f>Dodatni!I65</f>
        <v>116464</v>
      </c>
      <c r="K268" s="31">
        <f>Dodatni!J65</f>
        <v>128416</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6014.3</v>
      </c>
      <c r="I275" s="4">
        <f aca="true" t="shared" si="13" ref="I275:I284">ABS(ROUND(J275,0)-J275)+ABS(ROUND(K275,0)-K275)</f>
        <v>0</v>
      </c>
      <c r="J275" s="31">
        <f>Dodatni!I73</f>
        <v>1579</v>
      </c>
      <c r="K275" s="31">
        <f>Dodatni!J73</f>
        <v>308</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12984404.220000003</v>
      </c>
      <c r="I279" s="4">
        <f t="shared" si="13"/>
        <v>0</v>
      </c>
      <c r="J279" s="31">
        <f>Dodatni!I78</f>
        <v>1218037</v>
      </c>
      <c r="K279" s="31">
        <f>Dodatni!J78</f>
        <v>1726306</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12686562</v>
      </c>
      <c r="I281" s="4">
        <f t="shared" si="13"/>
        <v>0</v>
      </c>
      <c r="J281" s="31">
        <f>Dodatni!I80</f>
        <v>1212215</v>
      </c>
      <c r="K281" s="31">
        <f>Dodatni!J80</f>
        <v>1659350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394049.87999999995</v>
      </c>
      <c r="I283" s="4">
        <f t="shared" si="13"/>
        <v>0</v>
      </c>
      <c r="J283" s="31">
        <f>Dodatni!I82</f>
        <v>5822</v>
      </c>
      <c r="K283" s="31">
        <f>Dodatni!J82</f>
        <v>66956</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GRAČAC VODOVOD I ODVODNJA d.o.o.</v>
      </c>
      <c r="X2" s="209" t="s">
        <v>207</v>
      </c>
      <c r="Y2" s="231">
        <f>IF(RefStr!C54&lt;&gt;"",RefStr!C54,"")</f>
        <v>100</v>
      </c>
      <c r="Z2" s="209" t="s">
        <v>2326</v>
      </c>
      <c r="AA2" s="231" t="str">
        <f>IF(RefStr!B64="","",RefStr!B64)</f>
        <v>97776963</v>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23440</v>
      </c>
      <c r="X3" s="211" t="s">
        <v>208</v>
      </c>
      <c r="Y3" s="232">
        <f>IF(RefStr!F54&lt;&gt;"",RefStr!F54,"")</f>
        <v>0</v>
      </c>
      <c r="Z3" s="211" t="s">
        <v>2327</v>
      </c>
      <c r="AA3" s="232" t="str">
        <f>IF(RefStr!B66="","",RefStr!B66)</f>
        <v>Gracija, obrt za knjig.usluge</v>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75083503725</v>
      </c>
      <c r="V4" s="211" t="s">
        <v>2356</v>
      </c>
      <c r="W4" s="232" t="str">
        <f>RefStr!F31</f>
        <v>Gračac</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04214269</v>
      </c>
      <c r="V5" s="211" t="s">
        <v>2357</v>
      </c>
      <c r="W5" s="232" t="str">
        <f>RefStr!C33</f>
        <v>Park Sv.Jurja 1</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110044916</v>
      </c>
      <c r="V6" s="211" t="s">
        <v>2568</v>
      </c>
      <c r="W6" s="232" t="str">
        <f>RefStr!L35</f>
        <v>023/773728</v>
      </c>
      <c r="X6" s="211" t="s">
        <v>2514</v>
      </c>
      <c r="Y6" s="232" t="str">
        <f>RefStr!C68</f>
        <v>Gracijela Stura</v>
      </c>
      <c r="Z6" s="211" t="s">
        <v>1415</v>
      </c>
      <c r="AA6" s="232">
        <f>RefStr!C46</f>
        <v>0</v>
      </c>
    </row>
    <row r="7" spans="1:27" ht="13.5" customHeight="1">
      <c r="A7" s="498"/>
      <c r="B7" s="499"/>
      <c r="C7" s="499"/>
      <c r="D7" s="499"/>
      <c r="E7" s="499"/>
      <c r="F7" s="499"/>
      <c r="G7" s="499"/>
      <c r="H7" s="499"/>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VODOVOD@GRACAC.HR</v>
      </c>
      <c r="X7" s="211" t="s">
        <v>2515</v>
      </c>
      <c r="Y7" s="232" t="str">
        <f>RefStr!C70</f>
        <v>023/644298</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3600</v>
      </c>
      <c r="X8" s="211" t="s">
        <v>2516</v>
      </c>
      <c r="Y8" s="232" t="str">
        <f>TRIM(UPPER(RefStr!C72))</f>
        <v>GRACIJA.STURA@GMAIL.COM</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14</v>
      </c>
      <c r="Q9" s="231">
        <f>RefStr!F58</f>
        <v>14</v>
      </c>
      <c r="R9" s="211" t="s">
        <v>1860</v>
      </c>
      <c r="S9" s="232">
        <f>IF(RefStr!F4&lt;&gt;"",RefStr!F4,0)</f>
        <v>44196</v>
      </c>
      <c r="T9" s="211" t="s">
        <v>1821</v>
      </c>
      <c r="U9" s="232">
        <f>RefStr!C39</f>
        <v>131</v>
      </c>
      <c r="V9" s="211" t="s">
        <v>1414</v>
      </c>
      <c r="W9" s="232" t="str">
        <f>RefStr!D42</f>
        <v>Skupljanje, pročišćavanje i opskrba vo...</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14</v>
      </c>
      <c r="Q10" s="233">
        <f>RefStr!F56</f>
        <v>14</v>
      </c>
      <c r="R10" s="213" t="s">
        <v>1863</v>
      </c>
      <c r="S10" s="233">
        <f>RefStr!C23</f>
        <v>1</v>
      </c>
      <c r="T10" s="213" t="s">
        <v>2573</v>
      </c>
      <c r="U10" s="233" t="str">
        <f>RefStr!D39</f>
        <v>Gračac</v>
      </c>
      <c r="V10" s="240"/>
      <c r="W10" s="241"/>
      <c r="X10" s="242" t="s">
        <v>1974</v>
      </c>
      <c r="Y10" s="243">
        <f>RefStr!F12</f>
        <v>2020</v>
      </c>
      <c r="Z10" s="213" t="s">
        <v>209</v>
      </c>
      <c r="AA10" s="233" t="str">
        <f>RefStr!A75</f>
        <v>Marko Gale</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0</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4" activePane="bottomLeft" state="frozen"/>
      <selection pane="topLeft" activeCell="A1" sqref="A1"/>
      <selection pane="bottomLeft" activeCell="I68" sqref="I68"/>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421426.9</v>
      </c>
    </row>
    <row r="13" spans="4:17" ht="9.75" customHeight="1">
      <c r="D13" s="156"/>
      <c r="E13" s="162"/>
      <c r="H13" s="27"/>
      <c r="I13" s="163"/>
      <c r="J13" s="163"/>
      <c r="K13" s="156"/>
      <c r="L13" s="156"/>
      <c r="M13" s="156"/>
      <c r="N13" s="156"/>
      <c r="P13" s="54" t="s">
        <v>2353</v>
      </c>
      <c r="Q13" s="55">
        <f>INT(VALUE(M27))/50</f>
        <v>2200898.32</v>
      </c>
    </row>
    <row r="14" spans="1:17" ht="15">
      <c r="A14" s="321" t="s">
        <v>2714</v>
      </c>
      <c r="B14" s="321"/>
      <c r="C14" s="321"/>
      <c r="D14" s="164"/>
      <c r="E14" s="165"/>
      <c r="F14" s="319"/>
      <c r="G14" s="320"/>
      <c r="H14" s="320"/>
      <c r="I14" s="156"/>
      <c r="J14" s="327" t="s">
        <v>2100</v>
      </c>
      <c r="K14" s="328"/>
      <c r="L14" s="328"/>
      <c r="M14" s="328"/>
      <c r="N14" s="328"/>
      <c r="P14" s="54" t="s">
        <v>2718</v>
      </c>
      <c r="Q14" s="55">
        <f>INT(VALUE(C27))/100</f>
        <v>750835037.25</v>
      </c>
    </row>
    <row r="15" spans="1:17" ht="19.5" customHeight="1">
      <c r="A15" s="324">
        <f>Skriveni!B59</f>
        <v>948245118.0200001</v>
      </c>
      <c r="B15" s="325"/>
      <c r="C15" s="326"/>
      <c r="D15" s="60"/>
      <c r="E15" s="60"/>
      <c r="F15" s="60"/>
      <c r="G15" s="60"/>
      <c r="H15" s="60"/>
      <c r="I15" s="60"/>
      <c r="J15" s="60"/>
      <c r="K15" s="60"/>
      <c r="L15" s="60"/>
      <c r="M15" s="60"/>
      <c r="N15" s="60"/>
      <c r="P15" s="54" t="s">
        <v>1817</v>
      </c>
      <c r="Q15" s="55">
        <f>LEN(Skriveni!B9)</f>
        <v>32</v>
      </c>
    </row>
    <row r="16" spans="4:17" ht="12.75" customHeight="1">
      <c r="D16" s="60"/>
      <c r="E16" s="60"/>
      <c r="F16" s="60"/>
      <c r="G16" s="60"/>
      <c r="H16" s="60"/>
      <c r="I16" s="60"/>
      <c r="P16" s="54" t="s">
        <v>1818</v>
      </c>
      <c r="Q16" s="55">
        <f>INT(VALUE(C31))/100</f>
        <v>234.4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15</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131</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23440</v>
      </c>
      <c r="D31" s="335" t="s">
        <v>693</v>
      </c>
      <c r="E31" s="336"/>
      <c r="F31" s="316" t="s">
        <v>2187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131</v>
      </c>
      <c r="D39" s="348" t="str">
        <f>IF(C39="","Šifra grada/općine nije upisana",IF(ISNA(LOOKUP(C39,A177:A732,A177:A732)),"Šifra grada/općine ne postoji",IF(LOOKUP(C39,A177:A732,A177:A732)&lt;&gt;C39,"Šifra grada/općine ne postoji",LOOKUP(C39,A177:A732,B177:B732))))</f>
        <v>Gračac</v>
      </c>
      <c r="E39" s="349"/>
      <c r="F39" s="349"/>
      <c r="G39" s="349"/>
      <c r="H39" s="272" t="s">
        <v>2222</v>
      </c>
      <c r="I39" s="344"/>
      <c r="J39" s="58">
        <f>IF(C39&gt;0,LOOKUP(C39,A177:A732,C177:C732),"")</f>
        <v>13</v>
      </c>
      <c r="K39" s="351" t="str">
        <f>IF(J39="","Treba prvo upisati šifru grada/općine",LOOKUP(J39,A153:A173,B153:B173))</f>
        <v>ZADARSKA</v>
      </c>
      <c r="L39" s="351"/>
      <c r="M39" s="351"/>
      <c r="N39" s="351"/>
      <c r="P39" s="54" t="s">
        <v>1826</v>
      </c>
      <c r="Q39" s="55">
        <f>C56+2*F56+3*C58+4*F58</f>
        <v>140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14</v>
      </c>
      <c r="D56" s="270" t="s">
        <v>2898</v>
      </c>
      <c r="E56" s="380"/>
      <c r="F56" s="44">
        <v>14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14</v>
      </c>
      <c r="D58" s="278" t="s">
        <v>2898</v>
      </c>
      <c r="E58" s="278"/>
      <c r="F58" s="44">
        <v>14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2960</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t="s">
        <v>2961</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0" activePane="bottomLeft" state="frozen"/>
      <selection pane="topLeft" activeCell="A1" sqref="A1"/>
      <selection pane="bottomLeft" activeCell="J128" sqref="J128"/>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4" t="s">
        <v>138</v>
      </c>
      <c r="B2" s="395"/>
      <c r="C2" s="395"/>
      <c r="D2" s="395"/>
      <c r="E2" s="395"/>
      <c r="F2" s="395"/>
      <c r="G2" s="395"/>
      <c r="H2" s="395"/>
      <c r="I2" s="396"/>
      <c r="J2" s="392" t="s">
        <v>2590</v>
      </c>
      <c r="Q2" s="74">
        <f>IF(OR(MIN(I9:I133)&lt;0,MAX(I9:I133)&gt;0),1,0)</f>
        <v>1</v>
      </c>
      <c r="R2" s="73" t="s">
        <v>2586</v>
      </c>
    </row>
    <row r="3" spans="1:18" ht="19.5" customHeight="1" thickBot="1">
      <c r="A3" s="397" t="str">
        <f>"stanje na dan "&amp;IF(RefStr!F4&lt;&gt;"",TEXT(RefStr!F4,"DD.MM.YYYY."),"__.__.____.")</f>
        <v>stanje na dan 31.12.2020.</v>
      </c>
      <c r="B3" s="398"/>
      <c r="C3" s="398"/>
      <c r="D3" s="398"/>
      <c r="E3" s="398"/>
      <c r="F3" s="398"/>
      <c r="G3" s="398"/>
      <c r="H3" s="398"/>
      <c r="I3" s="399"/>
      <c r="J3" s="393"/>
      <c r="Q3" s="74">
        <f>IF(OR(MIN(J9:J133)&lt;0,MAX(J9:J133)&gt;0),1,0)</f>
        <v>1</v>
      </c>
      <c r="R3" s="73" t="s">
        <v>2587</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75083503725; GRAČAC VODOVOD I ODVODNJA d.o.o.</v>
      </c>
      <c r="B5" s="401"/>
      <c r="C5" s="401"/>
      <c r="D5" s="401"/>
      <c r="E5" s="401"/>
      <c r="F5" s="401"/>
      <c r="G5" s="401"/>
      <c r="H5" s="401"/>
      <c r="I5" s="401"/>
      <c r="J5" s="402"/>
      <c r="Q5" s="2">
        <f>IF(I96&lt;&gt;0,1,0)</f>
        <v>0</v>
      </c>
      <c r="R5" s="73" t="s">
        <v>2588</v>
      </c>
    </row>
    <row r="6" spans="1:18" ht="24.75" customHeight="1" thickBot="1">
      <c r="A6" s="387" t="s">
        <v>719</v>
      </c>
      <c r="B6" s="388"/>
      <c r="C6" s="388"/>
      <c r="D6" s="388"/>
      <c r="E6" s="388"/>
      <c r="F6" s="388"/>
      <c r="G6" s="102" t="s">
        <v>799</v>
      </c>
      <c r="H6" s="102" t="s">
        <v>1968</v>
      </c>
      <c r="I6" s="102" t="s">
        <v>2292</v>
      </c>
      <c r="J6" s="103" t="s">
        <v>2293</v>
      </c>
      <c r="Q6" s="2">
        <f>IF(J96&lt;&gt;0,1,0)</f>
        <v>0</v>
      </c>
      <c r="R6" s="73" t="s">
        <v>2589</v>
      </c>
    </row>
    <row r="7" spans="1:10" ht="13.5" customHeight="1">
      <c r="A7" s="389">
        <v>1</v>
      </c>
      <c r="B7" s="390"/>
      <c r="C7" s="390"/>
      <c r="D7" s="390"/>
      <c r="E7" s="390"/>
      <c r="F7" s="390"/>
      <c r="G7" s="105">
        <v>2</v>
      </c>
      <c r="H7" s="105">
        <v>3</v>
      </c>
      <c r="I7" s="104">
        <v>4</v>
      </c>
      <c r="J7" s="106">
        <v>5</v>
      </c>
    </row>
    <row r="8" spans="1:10" ht="13.5" customHeight="1">
      <c r="A8" s="385" t="s">
        <v>721</v>
      </c>
      <c r="B8" s="391"/>
      <c r="C8" s="391"/>
      <c r="D8" s="391"/>
      <c r="E8" s="391"/>
      <c r="F8" s="391"/>
      <c r="G8" s="391"/>
      <c r="H8" s="391"/>
      <c r="I8" s="391"/>
      <c r="J8" s="391"/>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2936355</v>
      </c>
      <c r="J10" s="70">
        <f>J11+J18+J28+J39+J44</f>
        <v>3521118</v>
      </c>
    </row>
    <row r="11" spans="1:10" ht="13.5" customHeight="1">
      <c r="A11" s="384" t="s">
        <v>1850</v>
      </c>
      <c r="B11" s="384"/>
      <c r="C11" s="384"/>
      <c r="D11" s="384"/>
      <c r="E11" s="384"/>
      <c r="F11" s="384"/>
      <c r="G11" s="19">
        <v>3</v>
      </c>
      <c r="H11" s="20"/>
      <c r="I11" s="70">
        <f>SUM(I12:I17)</f>
        <v>790122</v>
      </c>
      <c r="J11" s="70">
        <f>SUM(J12:J17)</f>
        <v>275232</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v>15000</v>
      </c>
      <c r="J16" s="71">
        <v>15000</v>
      </c>
    </row>
    <row r="17" spans="1:10" ht="13.5" customHeight="1">
      <c r="A17" s="383" t="s">
        <v>969</v>
      </c>
      <c r="B17" s="383"/>
      <c r="C17" s="383"/>
      <c r="D17" s="383"/>
      <c r="E17" s="383"/>
      <c r="F17" s="383"/>
      <c r="G17" s="19">
        <v>9</v>
      </c>
      <c r="H17" s="20"/>
      <c r="I17" s="71">
        <v>775122</v>
      </c>
      <c r="J17" s="71">
        <v>260232</v>
      </c>
    </row>
    <row r="18" spans="1:10" ht="13.5" customHeight="1">
      <c r="A18" s="384" t="s">
        <v>731</v>
      </c>
      <c r="B18" s="384"/>
      <c r="C18" s="384"/>
      <c r="D18" s="384"/>
      <c r="E18" s="384"/>
      <c r="F18" s="384"/>
      <c r="G18" s="19">
        <v>10</v>
      </c>
      <c r="H18" s="20"/>
      <c r="I18" s="70">
        <f>SUM(I19:I27)</f>
        <v>2146233</v>
      </c>
      <c r="J18" s="70">
        <f>SUM(J19:J27)</f>
        <v>3245886</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404112</v>
      </c>
      <c r="J20" s="71">
        <v>380087</v>
      </c>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c r="I22" s="71">
        <v>1742121</v>
      </c>
      <c r="J22" s="71">
        <v>2865799</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978928</v>
      </c>
      <c r="J45" s="70">
        <f>J46+J54+J61+J71</f>
        <v>1562809</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878580</v>
      </c>
      <c r="J54" s="70">
        <f>SUM(J55:J60)</f>
        <v>1393957</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829885</v>
      </c>
      <c r="J57" s="71">
        <v>1348475</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44396</v>
      </c>
      <c r="J59" s="71">
        <v>45289</v>
      </c>
    </row>
    <row r="60" spans="1:10" ht="13.5" customHeight="1">
      <c r="A60" s="383" t="s">
        <v>2638</v>
      </c>
      <c r="B60" s="383"/>
      <c r="C60" s="383"/>
      <c r="D60" s="383"/>
      <c r="E60" s="383"/>
      <c r="F60" s="383"/>
      <c r="G60" s="19">
        <v>52</v>
      </c>
      <c r="H60" s="20"/>
      <c r="I60" s="71">
        <v>4299</v>
      </c>
      <c r="J60" s="71">
        <v>193</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100348</v>
      </c>
      <c r="J71" s="71">
        <v>168852</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3915283</v>
      </c>
      <c r="J73" s="70">
        <f>J9+J10+J45+J72</f>
        <v>5083927</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931085</v>
      </c>
      <c r="J76" s="70">
        <f>J77+J78+J79+J85+J86+J90+J93+J96</f>
        <v>1092029</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871681</v>
      </c>
      <c r="J90" s="70">
        <f>J91-J92</f>
        <v>911085</v>
      </c>
      <c r="L90" s="2" t="s">
        <v>2591</v>
      </c>
    </row>
    <row r="91" spans="1:10" ht="13.5" customHeight="1">
      <c r="A91" s="383" t="s">
        <v>1139</v>
      </c>
      <c r="B91" s="383"/>
      <c r="C91" s="383"/>
      <c r="D91" s="383"/>
      <c r="E91" s="383"/>
      <c r="F91" s="383"/>
      <c r="G91" s="19">
        <v>82</v>
      </c>
      <c r="H91" s="20"/>
      <c r="I91" s="71">
        <v>871681</v>
      </c>
      <c r="J91" s="71">
        <v>911085</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39404</v>
      </c>
      <c r="J93" s="70">
        <f>J94-J95</f>
        <v>160944</v>
      </c>
      <c r="L93" s="2" t="s">
        <v>2591</v>
      </c>
    </row>
    <row r="94" spans="1:10" ht="13.5" customHeight="1">
      <c r="A94" s="383" t="s">
        <v>2640</v>
      </c>
      <c r="B94" s="383"/>
      <c r="C94" s="383"/>
      <c r="D94" s="383"/>
      <c r="E94" s="383"/>
      <c r="F94" s="383"/>
      <c r="G94" s="19">
        <v>85</v>
      </c>
      <c r="H94" s="20"/>
      <c r="I94" s="71">
        <v>39404</v>
      </c>
      <c r="J94" s="71">
        <v>160944</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122764</v>
      </c>
      <c r="J116" s="70">
        <f>SUM(J117:J130)</f>
        <v>372729</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19955</v>
      </c>
      <c r="J124" s="71">
        <v>115086</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68669</v>
      </c>
      <c r="J126" s="71">
        <v>63760</v>
      </c>
    </row>
    <row r="127" spans="1:10" ht="13.5" customHeight="1">
      <c r="A127" s="383" t="s">
        <v>364</v>
      </c>
      <c r="B127" s="383"/>
      <c r="C127" s="383"/>
      <c r="D127" s="383"/>
      <c r="E127" s="383"/>
      <c r="F127" s="383"/>
      <c r="G127" s="19">
        <v>118</v>
      </c>
      <c r="H127" s="20"/>
      <c r="I127" s="71">
        <v>34140</v>
      </c>
      <c r="J127" s="71">
        <v>193883</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2861434</v>
      </c>
      <c r="J131" s="71">
        <v>3619169</v>
      </c>
    </row>
    <row r="132" spans="1:10" ht="13.5" customHeight="1">
      <c r="A132" s="381" t="s">
        <v>2657</v>
      </c>
      <c r="B132" s="381"/>
      <c r="C132" s="381"/>
      <c r="D132" s="381"/>
      <c r="E132" s="381"/>
      <c r="F132" s="381"/>
      <c r="G132" s="19">
        <v>123</v>
      </c>
      <c r="H132" s="20"/>
      <c r="I132" s="70">
        <f>I76+I97+I104+I116+I131</f>
        <v>3915283</v>
      </c>
      <c r="J132" s="70">
        <f>J76+J97+J104+J116+J131</f>
        <v>5083927</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43"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4" t="s">
        <v>139</v>
      </c>
      <c r="B2" s="412"/>
      <c r="C2" s="412"/>
      <c r="D2" s="412"/>
      <c r="E2" s="412"/>
      <c r="F2" s="412"/>
      <c r="G2" s="412"/>
      <c r="H2" s="412"/>
      <c r="I2" s="413"/>
      <c r="J2" s="392" t="s">
        <v>2592</v>
      </c>
      <c r="Q2" s="74">
        <f>IF(OR(MIN(I8:I105)&lt;0,MAX(I8:I105)&gt;0),1,0)</f>
        <v>1</v>
      </c>
      <c r="R2" s="73" t="s">
        <v>2586</v>
      </c>
    </row>
    <row r="3" spans="1:18" s="2" customFormat="1" ht="19.5" customHeight="1" thickBot="1">
      <c r="A3" s="397" t="str">
        <f>"za razdoblje "&amp;IF(RefStr!C4&lt;&gt;"",TEXT(RefStr!C4,"DD.MM.YYYY."),"__.__.____.")&amp;" do "&amp;IF(RefStr!F4&lt;&gt;"",TEXT(RefStr!F4,"DD.MM.YYYY."),"__.__.____.")</f>
        <v>za razdoblje 01.01.2020. do 31.12.2020.</v>
      </c>
      <c r="B3" s="414"/>
      <c r="C3" s="414"/>
      <c r="D3" s="414"/>
      <c r="E3" s="414"/>
      <c r="F3" s="414"/>
      <c r="G3" s="414"/>
      <c r="H3" s="414"/>
      <c r="I3" s="415"/>
      <c r="J3" s="393"/>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75083503725; GRAČAC VODOVOD I ODVODNJA d.o.o.</v>
      </c>
      <c r="B5" s="410"/>
      <c r="C5" s="410"/>
      <c r="D5" s="410"/>
      <c r="E5" s="410"/>
      <c r="F5" s="410"/>
      <c r="G5" s="410"/>
      <c r="H5" s="410"/>
      <c r="I5" s="410"/>
      <c r="J5" s="411"/>
      <c r="Q5" s="2">
        <f>IF(OR(MIN(I85:I87,I103:I105)&lt;0,MAX(I85:I87,I103:I105)&gt;0),1,0)</f>
        <v>0</v>
      </c>
      <c r="R5" s="73" t="s">
        <v>2588</v>
      </c>
    </row>
    <row r="6" spans="1:18" s="2" customFormat="1" ht="24.75" customHeight="1" thickBot="1">
      <c r="A6" s="387" t="s">
        <v>719</v>
      </c>
      <c r="B6" s="388"/>
      <c r="C6" s="388"/>
      <c r="D6" s="388"/>
      <c r="E6" s="388"/>
      <c r="F6" s="388"/>
      <c r="G6" s="97" t="s">
        <v>799</v>
      </c>
      <c r="H6" s="97" t="s">
        <v>1968</v>
      </c>
      <c r="I6" s="102" t="s">
        <v>459</v>
      </c>
      <c r="J6" s="103" t="s">
        <v>460</v>
      </c>
      <c r="Q6" s="2">
        <f>IF(OR(MIN(J85:J87,J103:J105)&lt;0,MAX(J85:J87,J103:J105)&gt;0),1,0)</f>
        <v>0</v>
      </c>
      <c r="R6" s="73" t="s">
        <v>2589</v>
      </c>
    </row>
    <row r="7" spans="1:18" s="2" customFormat="1" ht="13.5" customHeight="1">
      <c r="A7" s="389">
        <v>1</v>
      </c>
      <c r="B7" s="390"/>
      <c r="C7" s="390"/>
      <c r="D7" s="390"/>
      <c r="E7" s="390"/>
      <c r="F7" s="390"/>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2595379</v>
      </c>
      <c r="J8" s="84">
        <f>SUM(J9:J13)</f>
        <v>3127840</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1705569</v>
      </c>
      <c r="J10" s="71">
        <v>1923817</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889810</v>
      </c>
      <c r="J13" s="71">
        <v>1204023</v>
      </c>
    </row>
    <row r="14" spans="1:10" s="2" customFormat="1" ht="13.5" customHeight="1">
      <c r="A14" s="381" t="s">
        <v>1837</v>
      </c>
      <c r="B14" s="381"/>
      <c r="C14" s="381"/>
      <c r="D14" s="381"/>
      <c r="E14" s="381"/>
      <c r="F14" s="381"/>
      <c r="G14" s="19">
        <v>131</v>
      </c>
      <c r="H14" s="20"/>
      <c r="I14" s="70">
        <f>I15+I16+I20+I24+I25+I26+I29+I36</f>
        <v>2536294</v>
      </c>
      <c r="J14" s="70">
        <f>J15+J16+J20+J24+J25+J26+J29+J36</f>
        <v>2945409</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461769</v>
      </c>
      <c r="J16" s="70">
        <f>SUM(J17:J19)</f>
        <v>517405</v>
      </c>
    </row>
    <row r="17" spans="1:10" s="2" customFormat="1" ht="13.5" customHeight="1">
      <c r="A17" s="418" t="s">
        <v>504</v>
      </c>
      <c r="B17" s="418"/>
      <c r="C17" s="418"/>
      <c r="D17" s="418"/>
      <c r="E17" s="418"/>
      <c r="F17" s="418"/>
      <c r="G17" s="19">
        <v>134</v>
      </c>
      <c r="H17" s="20"/>
      <c r="I17" s="71">
        <v>189880</v>
      </c>
      <c r="J17" s="71">
        <v>175816</v>
      </c>
    </row>
    <row r="18" spans="1:10" s="2" customFormat="1" ht="13.5" customHeight="1">
      <c r="A18" s="418" t="s">
        <v>505</v>
      </c>
      <c r="B18" s="418"/>
      <c r="C18" s="418"/>
      <c r="D18" s="418"/>
      <c r="E18" s="418"/>
      <c r="F18" s="418"/>
      <c r="G18" s="19">
        <v>135</v>
      </c>
      <c r="H18" s="20"/>
      <c r="I18" s="71"/>
      <c r="J18" s="71"/>
    </row>
    <row r="19" spans="1:10" s="2" customFormat="1" ht="13.5" customHeight="1">
      <c r="A19" s="418" t="s">
        <v>1426</v>
      </c>
      <c r="B19" s="418"/>
      <c r="C19" s="418"/>
      <c r="D19" s="418"/>
      <c r="E19" s="418"/>
      <c r="F19" s="418"/>
      <c r="G19" s="19">
        <v>136</v>
      </c>
      <c r="H19" s="20"/>
      <c r="I19" s="71">
        <v>271889</v>
      </c>
      <c r="J19" s="71">
        <v>341589</v>
      </c>
    </row>
    <row r="20" spans="1:10" s="2" customFormat="1" ht="13.5" customHeight="1">
      <c r="A20" s="383" t="s">
        <v>1839</v>
      </c>
      <c r="B20" s="383"/>
      <c r="C20" s="383"/>
      <c r="D20" s="383"/>
      <c r="E20" s="383"/>
      <c r="F20" s="383"/>
      <c r="G20" s="19">
        <v>137</v>
      </c>
      <c r="H20" s="20"/>
      <c r="I20" s="70">
        <f>SUM(I21:I23)</f>
        <v>1102840</v>
      </c>
      <c r="J20" s="70">
        <f>SUM(J21:J23)</f>
        <v>1113100</v>
      </c>
    </row>
    <row r="21" spans="1:10" s="2" customFormat="1" ht="13.5" customHeight="1">
      <c r="A21" s="418" t="s">
        <v>724</v>
      </c>
      <c r="B21" s="418"/>
      <c r="C21" s="418"/>
      <c r="D21" s="418"/>
      <c r="E21" s="418"/>
      <c r="F21" s="418"/>
      <c r="G21" s="19">
        <v>138</v>
      </c>
      <c r="H21" s="20"/>
      <c r="I21" s="71">
        <v>764854</v>
      </c>
      <c r="J21" s="71">
        <v>781507</v>
      </c>
    </row>
    <row r="22" spans="1:10" s="2" customFormat="1" ht="13.5" customHeight="1">
      <c r="A22" s="418" t="s">
        <v>961</v>
      </c>
      <c r="B22" s="418"/>
      <c r="C22" s="418"/>
      <c r="D22" s="418"/>
      <c r="E22" s="418"/>
      <c r="F22" s="418"/>
      <c r="G22" s="19">
        <v>139</v>
      </c>
      <c r="H22" s="20"/>
      <c r="I22" s="71">
        <v>216229</v>
      </c>
      <c r="J22" s="71">
        <v>212401</v>
      </c>
    </row>
    <row r="23" spans="1:10" s="2" customFormat="1" ht="13.5" customHeight="1">
      <c r="A23" s="418" t="s">
        <v>962</v>
      </c>
      <c r="B23" s="418"/>
      <c r="C23" s="418"/>
      <c r="D23" s="418"/>
      <c r="E23" s="418"/>
      <c r="F23" s="418"/>
      <c r="G23" s="19">
        <v>140</v>
      </c>
      <c r="H23" s="20"/>
      <c r="I23" s="71">
        <v>121757</v>
      </c>
      <c r="J23" s="71">
        <v>119192</v>
      </c>
    </row>
    <row r="24" spans="1:10" s="2" customFormat="1" ht="13.5" customHeight="1">
      <c r="A24" s="383" t="s">
        <v>259</v>
      </c>
      <c r="B24" s="383"/>
      <c r="C24" s="383"/>
      <c r="D24" s="383"/>
      <c r="E24" s="383"/>
      <c r="F24" s="383"/>
      <c r="G24" s="19">
        <v>141</v>
      </c>
      <c r="H24" s="20"/>
      <c r="I24" s="71">
        <v>812698</v>
      </c>
      <c r="J24" s="71">
        <v>1141544</v>
      </c>
    </row>
    <row r="25" spans="1:10" s="2" customFormat="1" ht="13.5" customHeight="1">
      <c r="A25" s="383" t="s">
        <v>260</v>
      </c>
      <c r="B25" s="383"/>
      <c r="C25" s="383"/>
      <c r="D25" s="383"/>
      <c r="E25" s="383"/>
      <c r="F25" s="383"/>
      <c r="G25" s="19">
        <v>142</v>
      </c>
      <c r="H25" s="20"/>
      <c r="I25" s="71">
        <v>158987</v>
      </c>
      <c r="J25" s="71"/>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c r="J36" s="71">
        <v>173360</v>
      </c>
    </row>
    <row r="37" spans="1:10" s="2" customFormat="1" ht="13.5" customHeight="1">
      <c r="A37" s="381" t="s">
        <v>1842</v>
      </c>
      <c r="B37" s="381"/>
      <c r="C37" s="381"/>
      <c r="D37" s="381"/>
      <c r="E37" s="381"/>
      <c r="F37" s="381"/>
      <c r="G37" s="19">
        <v>154</v>
      </c>
      <c r="H37" s="20"/>
      <c r="I37" s="70">
        <f>SUM(I38:I47)</f>
        <v>2385</v>
      </c>
      <c r="J37" s="70">
        <f>SUM(J38:J47)</f>
        <v>1678</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1580</v>
      </c>
      <c r="J44" s="71">
        <v>308</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805</v>
      </c>
      <c r="J47" s="71">
        <v>1370</v>
      </c>
    </row>
    <row r="48" spans="1:10" s="2" customFormat="1" ht="13.5" customHeight="1">
      <c r="A48" s="381" t="s">
        <v>1843</v>
      </c>
      <c r="B48" s="381"/>
      <c r="C48" s="381"/>
      <c r="D48" s="381"/>
      <c r="E48" s="381"/>
      <c r="F48" s="381"/>
      <c r="G48" s="19">
        <v>165</v>
      </c>
      <c r="H48" s="20"/>
      <c r="I48" s="70">
        <f>SUM(I49:I55)</f>
        <v>15021</v>
      </c>
      <c r="J48" s="70">
        <f>SUM(J49:J55)</f>
        <v>218</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21</v>
      </c>
      <c r="J51" s="71">
        <v>218</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v>1397</v>
      </c>
      <c r="J54" s="71"/>
      <c r="L54" s="2" t="s">
        <v>2591</v>
      </c>
    </row>
    <row r="55" spans="1:10" s="2" customFormat="1" ht="13.5" customHeight="1">
      <c r="A55" s="403" t="s">
        <v>1442</v>
      </c>
      <c r="B55" s="403"/>
      <c r="C55" s="403"/>
      <c r="D55" s="403"/>
      <c r="E55" s="403"/>
      <c r="F55" s="403"/>
      <c r="G55" s="19">
        <v>172</v>
      </c>
      <c r="H55" s="20"/>
      <c r="I55" s="71">
        <v>13603</v>
      </c>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2597764</v>
      </c>
      <c r="J60" s="70">
        <f>J8+J37+J56+J57</f>
        <v>3129518</v>
      </c>
    </row>
    <row r="61" spans="1:10" s="2" customFormat="1" ht="13.5" customHeight="1">
      <c r="A61" s="381" t="s">
        <v>1845</v>
      </c>
      <c r="B61" s="381"/>
      <c r="C61" s="381"/>
      <c r="D61" s="381"/>
      <c r="E61" s="381"/>
      <c r="F61" s="381"/>
      <c r="G61" s="19">
        <v>178</v>
      </c>
      <c r="H61" s="20"/>
      <c r="I61" s="70">
        <f>I14+I48+I58+I59</f>
        <v>2551315</v>
      </c>
      <c r="J61" s="70">
        <f>J14+J48+J58+J59</f>
        <v>2945627</v>
      </c>
    </row>
    <row r="62" spans="1:12" s="2" customFormat="1" ht="13.5" customHeight="1">
      <c r="A62" s="381" t="s">
        <v>2581</v>
      </c>
      <c r="B62" s="381"/>
      <c r="C62" s="381"/>
      <c r="D62" s="381"/>
      <c r="E62" s="381"/>
      <c r="F62" s="381"/>
      <c r="G62" s="19">
        <v>179</v>
      </c>
      <c r="H62" s="20"/>
      <c r="I62" s="70">
        <f>I60-I61</f>
        <v>46449</v>
      </c>
      <c r="J62" s="70">
        <f>J60-J61</f>
        <v>183891</v>
      </c>
      <c r="L62" s="2" t="s">
        <v>2591</v>
      </c>
    </row>
    <row r="63" spans="1:10" s="2" customFormat="1" ht="13.5" customHeight="1">
      <c r="A63" s="403" t="s">
        <v>2658</v>
      </c>
      <c r="B63" s="403"/>
      <c r="C63" s="403"/>
      <c r="D63" s="403"/>
      <c r="E63" s="403"/>
      <c r="F63" s="403"/>
      <c r="G63" s="19">
        <v>180</v>
      </c>
      <c r="H63" s="20"/>
      <c r="I63" s="70">
        <f>IF(I60&gt;I61,I60-I61,0)</f>
        <v>46449</v>
      </c>
      <c r="J63" s="70">
        <f>IF(J60&gt;J61,J60-J61,0)</f>
        <v>183891</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7045</v>
      </c>
      <c r="J65" s="71">
        <v>22947</v>
      </c>
      <c r="L65" s="2" t="s">
        <v>2591</v>
      </c>
    </row>
    <row r="66" spans="1:12" s="2" customFormat="1" ht="13.5" customHeight="1">
      <c r="A66" s="381" t="s">
        <v>2582</v>
      </c>
      <c r="B66" s="381"/>
      <c r="C66" s="381"/>
      <c r="D66" s="381"/>
      <c r="E66" s="381"/>
      <c r="F66" s="381"/>
      <c r="G66" s="19">
        <v>183</v>
      </c>
      <c r="H66" s="20"/>
      <c r="I66" s="70">
        <f>I62-I65</f>
        <v>39404</v>
      </c>
      <c r="J66" s="70">
        <f>J62-J65</f>
        <v>160944</v>
      </c>
      <c r="L66" s="2" t="s">
        <v>2591</v>
      </c>
    </row>
    <row r="67" spans="1:10" s="2" customFormat="1" ht="13.5" customHeight="1">
      <c r="A67" s="403" t="s">
        <v>779</v>
      </c>
      <c r="B67" s="403"/>
      <c r="C67" s="403"/>
      <c r="D67" s="403"/>
      <c r="E67" s="403"/>
      <c r="F67" s="403"/>
      <c r="G67" s="19">
        <v>184</v>
      </c>
      <c r="H67" s="20"/>
      <c r="I67" s="70">
        <f>IF(I66&gt;0,I66,0)</f>
        <v>39404</v>
      </c>
      <c r="J67" s="70">
        <f>IF(J66&gt;0,J66,0)</f>
        <v>160944</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0" activePane="bottomLeft" state="frozen"/>
      <selection pane="topLeft" activeCell="A1" sqref="A1"/>
      <selection pane="bottomLeft" activeCell="J83" sqref="J83"/>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92"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75083503725; GRAČAC VODOVOD I ODVODNJA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1705569</v>
      </c>
      <c r="J25" s="94">
        <v>1923817</v>
      </c>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1705569</v>
      </c>
      <c r="J37" s="94">
        <v>1923817</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47911</v>
      </c>
      <c r="J50" s="77">
        <v>48075</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6150</v>
      </c>
      <c r="J60" s="77">
        <v>5685</v>
      </c>
    </row>
    <row r="61" spans="1:10" s="2" customFormat="1" ht="13.5" customHeight="1">
      <c r="A61" s="444" t="s">
        <v>2445</v>
      </c>
      <c r="B61" s="444"/>
      <c r="C61" s="444"/>
      <c r="D61" s="444"/>
      <c r="E61" s="444"/>
      <c r="F61" s="444"/>
      <c r="G61" s="445"/>
      <c r="H61" s="19">
        <v>263</v>
      </c>
      <c r="I61" s="77">
        <v>6150</v>
      </c>
      <c r="J61" s="77">
        <v>5685</v>
      </c>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116464</v>
      </c>
      <c r="J65" s="77">
        <v>128416</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1579</v>
      </c>
      <c r="J73" s="94">
        <v>308</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1218037</v>
      </c>
      <c r="J78" s="228">
        <f>SUM(J79:J82)</f>
        <v>1726306</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1212215</v>
      </c>
      <c r="J80" s="77">
        <v>1659350</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v>5822</v>
      </c>
      <c r="J82" s="77">
        <v>66956</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92"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75083503725; GRAČAC VODOVOD I ODVODNJA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92"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75083503725; GRAČAC VODOVOD I ODVODNJA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92" t="s">
        <v>2596</v>
      </c>
      <c r="Q2" s="470"/>
      <c r="R2" s="470"/>
      <c r="S2" s="470"/>
      <c r="T2" s="470"/>
      <c r="U2" s="470"/>
      <c r="V2" s="470"/>
      <c r="W2" s="471"/>
      <c r="X2" s="392"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75083503725; GRAČAC VODOVOD I ODVODNJA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388"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Gracija</cp:lastModifiedBy>
  <cp:lastPrinted>2017-01-04T10:24:58Z</cp:lastPrinted>
  <dcterms:created xsi:type="dcterms:W3CDTF">2008-10-17T11:51:54Z</dcterms:created>
  <dcterms:modified xsi:type="dcterms:W3CDTF">2021-04-20T07:54:43Z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